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rediidikindlustusselts\Finants\Saldoandmikud\MKM kvartaalne aruandlus\2025\"/>
    </mc:Choice>
  </mc:AlternateContent>
  <xr:revisionPtr revIDLastSave="0" documentId="13_ncr:1_{A7CEF459-464C-4DA6-A3DD-7DE1AAE23505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av sektori saldod" sheetId="1" r:id="rId1"/>
    <sheet name="lis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B39" i="1"/>
  <c r="BB9" i="2"/>
  <c r="BB12" i="2"/>
  <c r="BB11" i="2"/>
  <c r="BB25" i="2"/>
  <c r="BC8" i="2" l="1"/>
  <c r="BB31" i="2" l="1"/>
  <c r="B32" i="1" l="1"/>
  <c r="B31" i="1" l="1"/>
  <c r="B19" i="1"/>
  <c r="BC16" i="2"/>
  <c r="B48" i="1" l="1"/>
  <c r="B23" i="1"/>
  <c r="BB18" i="2"/>
  <c r="BB17" i="2"/>
  <c r="BC41" i="2" s="1"/>
  <c r="AZ31" i="2" l="1"/>
  <c r="AY42" i="2" l="1"/>
  <c r="AY41" i="2"/>
  <c r="AZ18" i="2"/>
  <c r="AX18" i="2"/>
  <c r="AZ17" i="2"/>
  <c r="AX17" i="2"/>
  <c r="AZ16" i="2"/>
  <c r="AX16" i="2"/>
  <c r="AW42" i="2"/>
  <c r="AW41" i="2"/>
  <c r="AV12" i="2"/>
  <c r="AU42" i="2" l="1"/>
  <c r="AU41" i="2"/>
  <c r="AT18" i="2"/>
  <c r="AT17" i="2"/>
  <c r="AT16" i="2"/>
  <c r="AS42" i="2"/>
  <c r="AS41" i="2"/>
  <c r="AR26" i="2"/>
  <c r="AR25" i="2"/>
  <c r="AQ42" i="2" l="1"/>
  <c r="AQ41" i="2"/>
  <c r="AO42" i="2"/>
  <c r="AO41" i="2"/>
  <c r="AN26" i="2"/>
  <c r="AN25" i="2"/>
  <c r="AL35" i="2"/>
  <c r="AM41" i="2" s="1"/>
  <c r="AM42" i="2"/>
  <c r="AL18" i="2"/>
  <c r="AL17" i="2"/>
  <c r="AL16" i="2"/>
  <c r="AK18" i="2"/>
  <c r="AK19" i="2"/>
  <c r="AK17" i="2"/>
  <c r="AK41" i="2"/>
  <c r="AK42" i="2"/>
  <c r="AI42" i="2"/>
  <c r="AI41" i="2"/>
  <c r="AI19" i="2"/>
  <c r="AI18" i="2"/>
  <c r="AI17" i="2"/>
  <c r="AH16" i="2"/>
  <c r="AJ44" i="2" l="1"/>
  <c r="AG41" i="2"/>
  <c r="AG42" i="2"/>
  <c r="AE42" i="2"/>
  <c r="AE41" i="2"/>
  <c r="AC41" i="2"/>
  <c r="AC42" i="2"/>
  <c r="AC8" i="2"/>
  <c r="AH44" i="2" l="1"/>
  <c r="AA42" i="2"/>
  <c r="AA41" i="2"/>
  <c r="AB44" i="2" l="1"/>
  <c r="AA19" i="2"/>
  <c r="Y42" i="2" l="1"/>
  <c r="Y41" i="2"/>
  <c r="W41" i="2"/>
  <c r="Y18" i="2"/>
  <c r="AA18" i="2" s="1"/>
  <c r="Y16" i="2"/>
  <c r="AA16" i="2" s="1"/>
  <c r="Z44" i="2" l="1"/>
  <c r="W42" i="2"/>
  <c r="X44" i="2" s="1"/>
  <c r="W17" i="2"/>
  <c r="Y17" i="2" s="1"/>
  <c r="AA17" i="2" s="1"/>
  <c r="U42" i="2"/>
  <c r="U41" i="2"/>
  <c r="V44" i="2" l="1"/>
  <c r="S42" i="2"/>
  <c r="S41" i="2"/>
  <c r="T44" i="2" l="1"/>
  <c r="Q42" i="2"/>
  <c r="Q41" i="2"/>
  <c r="R44" i="2" l="1"/>
  <c r="O42" i="2"/>
  <c r="O41" i="2"/>
  <c r="M41" i="2"/>
  <c r="P44" i="2" l="1"/>
  <c r="M42" i="2"/>
  <c r="N44" i="2" s="1"/>
  <c r="M16" i="2" l="1"/>
  <c r="O16" i="2" s="1"/>
  <c r="K42" i="2" l="1"/>
  <c r="K41" i="2" l="1"/>
  <c r="M18" i="2"/>
  <c r="O18" i="2" s="1"/>
  <c r="M17" i="2"/>
  <c r="O17" i="2" s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E49" i="1" l="1"/>
  <c r="I42" i="2"/>
  <c r="I41" i="2"/>
  <c r="G16" i="2"/>
  <c r="I8" i="2"/>
  <c r="K8" i="2" s="1"/>
  <c r="G42" i="2" l="1"/>
  <c r="G41" i="2"/>
</calcChain>
</file>

<file path=xl/sharedStrings.xml><?xml version="1.0" encoding="utf-8"?>
<sst xmlns="http://schemas.openxmlformats.org/spreadsheetml/2006/main" count="160" uniqueCount="74">
  <si>
    <t>Konto</t>
  </si>
  <si>
    <t>012001</t>
  </si>
  <si>
    <t>Edasikindlustaja osa ettemakstud preemiate eraldises, riigigarantii osa</t>
  </si>
  <si>
    <t>Edasikindlustaja osa esinenud kuid teatamata kahjudes, riigigarantii osa</t>
  </si>
  <si>
    <t>Aruanne MKM-le Riikliku ekspordikindlustuse programmi täitmise ja riigi osaluse kohta kohta</t>
  </si>
  <si>
    <t>Riigigarantii  tagatisdeposiit</t>
  </si>
  <si>
    <t>Kindlustuslepingute sõlmimiskulude muutuse reserv, riigigarantii osa</t>
  </si>
  <si>
    <t>Edasikindlustuslepingust tulenevad  kohustused:</t>
  </si>
  <si>
    <t>Edasikindlustuslepingust tulenevad tulud ( realiseerumisel suurendavad tagatisdeposiiti)</t>
  </si>
  <si>
    <t>Edasikindlustuslepingust tulenevad kulud ( realiseerumisel vähendavad tagatisdeposiiti)</t>
  </si>
  <si>
    <t xml:space="preserve">Edasikindlustaja osa preemiates, riigigarantii osa </t>
  </si>
  <si>
    <t xml:space="preserve">Kindlustuseraldiste muutus riigigarantii osa </t>
  </si>
  <si>
    <t>AS KredEx Krediidikindlustus (KKS)  TP 012434</t>
  </si>
  <si>
    <t>K253890</t>
  </si>
  <si>
    <t>K203290</t>
  </si>
  <si>
    <t>K206011</t>
  </si>
  <si>
    <t>K323240</t>
  </si>
  <si>
    <t>D554070</t>
  </si>
  <si>
    <t>ning vastavalt edaskindlustuslepingule 11.02.2011</t>
  </si>
  <si>
    <t>muutus</t>
  </si>
  <si>
    <t>Deposiiditulud  riigigarantii fondi</t>
  </si>
  <si>
    <t>Edasikindlustuse komisjonitasude muutus - riigigarantii</t>
  </si>
  <si>
    <t>K655000</t>
  </si>
  <si>
    <t>Saldode võrdlus teiste riigi konsolideerimisgrupi üksustega</t>
  </si>
  <si>
    <t>Dokumendi nr</t>
  </si>
  <si>
    <t>Kuupäev</t>
  </si>
  <si>
    <t>Saatja nimetus</t>
  </si>
  <si>
    <t>Saatja tehingupartneri kood</t>
  </si>
  <si>
    <t>Saaja tehingupartneri kood</t>
  </si>
  <si>
    <t>Saaja nimetus</t>
  </si>
  <si>
    <t>Bilansipäev:</t>
  </si>
  <si>
    <t>Saatja andmed</t>
  </si>
  <si>
    <t>Saaja andmed</t>
  </si>
  <si>
    <t>Nõuded</t>
  </si>
  <si>
    <t>Kohustused</t>
  </si>
  <si>
    <t>Summa</t>
  </si>
  <si>
    <t>Vahe</t>
  </si>
  <si>
    <t>Märkused</t>
  </si>
  <si>
    <t>Tulud</t>
  </si>
  <si>
    <t>Kulud</t>
  </si>
  <si>
    <t>D323240</t>
  </si>
  <si>
    <t>D655000</t>
  </si>
  <si>
    <t>Saatja</t>
  </si>
  <si>
    <t>Saaja</t>
  </si>
  <si>
    <t>(nimi)</t>
  </si>
  <si>
    <t>(telefon)</t>
  </si>
  <si>
    <t>012434</t>
  </si>
  <si>
    <t>D655410</t>
  </si>
  <si>
    <t>K655410</t>
  </si>
  <si>
    <t>tagatisdeposiiti suunatud investeerimistulud</t>
  </si>
  <si>
    <t>tagatisdeposiiti suunatud edasikindlustaja preemiad</t>
  </si>
  <si>
    <t>tagatisdeposiiti suunatud kom. tasu</t>
  </si>
  <si>
    <t>Regressid - riigigarantii osa</t>
  </si>
  <si>
    <t>D103690</t>
  </si>
  <si>
    <t>K103190</t>
  </si>
  <si>
    <t>D103190</t>
  </si>
  <si>
    <t>D153780</t>
  </si>
  <si>
    <t>D554060</t>
  </si>
  <si>
    <t>D658910</t>
  </si>
  <si>
    <t>K203210</t>
  </si>
  <si>
    <t>D298001</t>
  </si>
  <si>
    <t>konteering saldoandmikus</t>
  </si>
  <si>
    <t>K658910</t>
  </si>
  <si>
    <t>Kreedit: miinusmärgiga</t>
  </si>
  <si>
    <t>Deebet: plussmärgiga</t>
  </si>
  <si>
    <t>nõuded/kohustused</t>
  </si>
  <si>
    <t>tulud/kulu</t>
  </si>
  <si>
    <t>2041 riigi osa</t>
  </si>
  <si>
    <t>5001 riigi osa</t>
  </si>
  <si>
    <t>5001 riiklikusse deposse kandmine</t>
  </si>
  <si>
    <t>4950 mkm osa</t>
  </si>
  <si>
    <t>4951 mkm osa</t>
  </si>
  <si>
    <t>laekunud regressid</t>
  </si>
  <si>
    <t>Saldod seisuga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</si>
</sst>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186"/>
    </font>
    <font>
      <sz val="8"/>
      <name val="Arial"/>
      <family val="2"/>
      <charset val="186"/>
    </font>
    <font>
      <sz val="10"/>
      <color rgb="FF0070C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2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2" fillId="0" borderId="9" xfId="0" applyNumberFormat="1" applyFont="1" applyBorder="1" applyAlignment="1">
      <alignment horizontal="right"/>
    </xf>
    <xf numFmtId="14" fontId="0" fillId="0" borderId="9" xfId="0" applyNumberFormat="1" applyBorder="1"/>
    <xf numFmtId="14" fontId="5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0" fontId="3" fillId="0" borderId="1" xfId="0" applyFont="1" applyBorder="1" applyAlignment="1">
      <alignment horizontal="center"/>
    </xf>
    <xf numFmtId="4" fontId="7" fillId="0" borderId="0" xfId="0" applyNumberFormat="1" applyFont="1"/>
    <xf numFmtId="14" fontId="3" fillId="0" borderId="0" xfId="0" applyNumberFormat="1" applyFont="1"/>
    <xf numFmtId="2" fontId="4" fillId="0" borderId="0" xfId="0" applyNumberFormat="1" applyFont="1"/>
    <xf numFmtId="4" fontId="6" fillId="0" borderId="0" xfId="0" applyNumberFormat="1" applyFont="1"/>
    <xf numFmtId="14" fontId="5" fillId="0" borderId="0" xfId="0" applyNumberFormat="1" applyFont="1" applyAlignment="1">
      <alignment horizontal="center"/>
    </xf>
    <xf numFmtId="4" fontId="0" fillId="2" borderId="0" xfId="0" applyNumberFormat="1" applyFill="1"/>
    <xf numFmtId="0" fontId="4" fillId="0" borderId="0" xfId="0" applyFont="1" applyAlignment="1">
      <alignment horizontal="right" wrapText="1"/>
    </xf>
    <xf numFmtId="0" fontId="0" fillId="0" borderId="10" xfId="0" applyBorder="1"/>
    <xf numFmtId="0" fontId="3" fillId="0" borderId="11" xfId="0" applyFont="1" applyBorder="1"/>
    <xf numFmtId="2" fontId="0" fillId="0" borderId="12" xfId="0" applyNumberFormat="1" applyBorder="1"/>
    <xf numFmtId="0" fontId="0" fillId="0" borderId="11" xfId="0" applyBorder="1"/>
    <xf numFmtId="4" fontId="0" fillId="3" borderId="0" xfId="0" applyNumberFormat="1" applyFill="1"/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3" fillId="0" borderId="2" xfId="0" applyFont="1" applyBorder="1" applyAlignment="1">
      <alignment horizontal="center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3" fontId="4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left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tabSelected="1" zoomScaleNormal="100" workbookViewId="0">
      <selection activeCell="D5" sqref="D5"/>
    </sheetView>
  </sheetViews>
  <sheetFormatPr defaultRowHeight="12.45" x14ac:dyDescent="0.3"/>
  <cols>
    <col min="1" max="1" width="16.23046875" customWidth="1"/>
    <col min="2" max="3" width="13" customWidth="1"/>
    <col min="4" max="4" width="12.765625" customWidth="1"/>
    <col min="5" max="5" width="11.4609375" hidden="1" customWidth="1"/>
    <col min="6" max="6" width="12.23046875" hidden="1" customWidth="1"/>
    <col min="7" max="7" width="22" hidden="1" customWidth="1"/>
    <col min="8" max="8" width="13" hidden="1" customWidth="1"/>
    <col min="9" max="10" width="14.765625" hidden="1" customWidth="1"/>
    <col min="11" max="11" width="14" hidden="1" customWidth="1"/>
    <col min="12" max="12" width="11.765625" hidden="1" customWidth="1"/>
    <col min="13" max="13" width="10.23046875" hidden="1" customWidth="1"/>
    <col min="14" max="15" width="13.53515625" hidden="1" customWidth="1"/>
    <col min="16" max="16" width="13.4609375" hidden="1" customWidth="1"/>
    <col min="17" max="17" width="10" hidden="1" customWidth="1"/>
    <col min="18" max="18" width="27.765625" hidden="1" customWidth="1"/>
    <col min="19" max="19" width="13.765625" hidden="1" customWidth="1"/>
    <col min="20" max="20" width="13.53515625" hidden="1" customWidth="1"/>
    <col min="21" max="23" width="9.23046875" hidden="1" customWidth="1"/>
    <col min="24" max="24" width="12.765625" hidden="1" customWidth="1"/>
    <col min="25" max="25" width="16.765625" hidden="1" customWidth="1"/>
    <col min="26" max="26" width="8.53515625" hidden="1" customWidth="1"/>
    <col min="27" max="27" width="11" hidden="1" customWidth="1"/>
    <col min="28" max="28" width="12.765625" hidden="1" customWidth="1"/>
    <col min="29" max="29" width="11.765625" hidden="1" customWidth="1"/>
    <col min="30" max="30" width="14.4609375" hidden="1" customWidth="1"/>
    <col min="37" max="38" width="10" bestFit="1" customWidth="1"/>
    <col min="39" max="39" width="12.53515625" bestFit="1" customWidth="1"/>
  </cols>
  <sheetData>
    <row r="1" spans="1:11" x14ac:dyDescent="0.3">
      <c r="A1" s="1" t="s">
        <v>23</v>
      </c>
    </row>
    <row r="3" spans="1:11" x14ac:dyDescent="0.3">
      <c r="A3" t="s">
        <v>24</v>
      </c>
      <c r="D3" t="s">
        <v>25</v>
      </c>
      <c r="E3" s="7">
        <v>41393</v>
      </c>
    </row>
    <row r="4" spans="1:11" x14ac:dyDescent="0.3">
      <c r="A4" t="s">
        <v>26</v>
      </c>
      <c r="D4" s="19">
        <v>45930</v>
      </c>
    </row>
    <row r="5" spans="1:11" ht="39.75" customHeight="1" x14ac:dyDescent="0.3"/>
    <row r="6" spans="1:11" x14ac:dyDescent="0.3">
      <c r="A6" t="s">
        <v>27</v>
      </c>
      <c r="D6" s="18" t="s">
        <v>46</v>
      </c>
      <c r="E6" s="9"/>
      <c r="F6" s="10"/>
    </row>
    <row r="7" spans="1:11" x14ac:dyDescent="0.3">
      <c r="A7" t="s">
        <v>28</v>
      </c>
      <c r="D7" s="18" t="s">
        <v>1</v>
      </c>
      <c r="E7" s="9"/>
      <c r="F7" s="10"/>
    </row>
    <row r="8" spans="1:11" x14ac:dyDescent="0.3">
      <c r="A8" t="s">
        <v>29</v>
      </c>
    </row>
    <row r="10" spans="1:11" x14ac:dyDescent="0.3">
      <c r="A10" t="s">
        <v>30</v>
      </c>
      <c r="D10" s="19">
        <v>45930</v>
      </c>
      <c r="E10" s="9"/>
      <c r="F10" s="10"/>
    </row>
    <row r="12" spans="1:11" x14ac:dyDescent="0.3">
      <c r="A12" s="23" t="s">
        <v>31</v>
      </c>
      <c r="B12" s="39"/>
      <c r="C12" s="46" t="s">
        <v>32</v>
      </c>
      <c r="D12" s="47"/>
      <c r="E12" s="47"/>
      <c r="F12" s="48"/>
    </row>
    <row r="13" spans="1:11" x14ac:dyDescent="0.3">
      <c r="A13" s="11" t="s">
        <v>33</v>
      </c>
      <c r="C13" s="11" t="s">
        <v>34</v>
      </c>
      <c r="F13" s="12"/>
    </row>
    <row r="14" spans="1:11" x14ac:dyDescent="0.3">
      <c r="A14" s="8" t="s">
        <v>0</v>
      </c>
      <c r="B14" s="45" t="s">
        <v>35</v>
      </c>
      <c r="C14" s="8" t="s">
        <v>0</v>
      </c>
      <c r="D14" s="9" t="s">
        <v>35</v>
      </c>
      <c r="E14" s="9" t="s">
        <v>36</v>
      </c>
      <c r="F14" s="10" t="s">
        <v>37</v>
      </c>
    </row>
    <row r="15" spans="1:11" x14ac:dyDescent="0.3">
      <c r="A15" t="s">
        <v>55</v>
      </c>
      <c r="B15">
        <v>327170.15000000002</v>
      </c>
      <c r="C15" s="13" t="s">
        <v>54</v>
      </c>
      <c r="D15" s="6">
        <v>0</v>
      </c>
      <c r="F15" s="12"/>
      <c r="I15" s="4"/>
      <c r="J15" s="49"/>
      <c r="K15" s="49"/>
    </row>
    <row r="16" spans="1:11" x14ac:dyDescent="0.3">
      <c r="A16" t="s">
        <v>60</v>
      </c>
      <c r="C16" s="13"/>
      <c r="D16" s="6"/>
      <c r="F16" s="12"/>
      <c r="I16" s="4"/>
      <c r="J16" s="49"/>
      <c r="K16" s="49"/>
    </row>
    <row r="17" spans="1:41" ht="12.9" thickBot="1" x14ac:dyDescent="0.35">
      <c r="A17" s="32" t="s">
        <v>34</v>
      </c>
      <c r="B17" s="31"/>
      <c r="C17" s="32" t="s">
        <v>33</v>
      </c>
      <c r="D17" s="33"/>
      <c r="F17" s="12"/>
      <c r="I17" s="4"/>
      <c r="J17" s="5"/>
    </row>
    <row r="18" spans="1:41" ht="12.9" thickBot="1" x14ac:dyDescent="0.35">
      <c r="A18" s="34" t="s">
        <v>0</v>
      </c>
      <c r="B18" s="31"/>
      <c r="C18" s="34" t="s">
        <v>0</v>
      </c>
      <c r="D18" s="33" t="s">
        <v>35</v>
      </c>
      <c r="E18" s="9" t="s">
        <v>36</v>
      </c>
      <c r="F18" s="10" t="s">
        <v>37</v>
      </c>
      <c r="I18" s="4"/>
      <c r="J18" s="5"/>
    </row>
    <row r="19" spans="1:41" x14ac:dyDescent="0.3">
      <c r="A19" s="14" t="s">
        <v>14</v>
      </c>
      <c r="B19" s="4">
        <f>+lisa!BC16</f>
        <v>-8888.1999999999989</v>
      </c>
      <c r="C19" s="13" t="s">
        <v>55</v>
      </c>
      <c r="D19" s="6"/>
      <c r="F19" s="12"/>
      <c r="I19" s="4"/>
      <c r="J19" s="5"/>
    </row>
    <row r="20" spans="1:41" x14ac:dyDescent="0.3">
      <c r="A20" s="14" t="s">
        <v>15</v>
      </c>
      <c r="B20" s="4">
        <v>0</v>
      </c>
      <c r="C20" s="13" t="s">
        <v>15</v>
      </c>
      <c r="D20" s="6"/>
      <c r="F20" s="12"/>
      <c r="I20" s="4"/>
      <c r="J20" s="5"/>
    </row>
    <row r="21" spans="1:41" x14ac:dyDescent="0.3">
      <c r="A21" s="14" t="s">
        <v>15</v>
      </c>
      <c r="B21" s="4">
        <v>0</v>
      </c>
      <c r="C21" s="13" t="s">
        <v>15</v>
      </c>
      <c r="D21" s="6"/>
      <c r="F21" s="12"/>
      <c r="I21" s="4"/>
      <c r="J21" s="5"/>
    </row>
    <row r="22" spans="1:41" x14ac:dyDescent="0.3">
      <c r="A22" s="14" t="s">
        <v>15</v>
      </c>
      <c r="B22" s="4"/>
      <c r="C22" s="13" t="s">
        <v>15</v>
      </c>
      <c r="D22" s="6"/>
      <c r="F22" s="12"/>
      <c r="I22" s="4"/>
      <c r="J22" s="5"/>
    </row>
    <row r="23" spans="1:41" x14ac:dyDescent="0.3">
      <c r="A23" s="14" t="s">
        <v>13</v>
      </c>
      <c r="B23" s="4">
        <f>+lisa!BC8</f>
        <v>-15814035.25</v>
      </c>
      <c r="C23" s="13" t="s">
        <v>56</v>
      </c>
      <c r="D23" s="6"/>
      <c r="F23" s="12"/>
      <c r="I23" s="4"/>
      <c r="J23" s="5"/>
    </row>
    <row r="24" spans="1:41" x14ac:dyDescent="0.3">
      <c r="A24" s="14" t="s">
        <v>13</v>
      </c>
      <c r="B24" s="4"/>
      <c r="C24" s="13" t="s">
        <v>56</v>
      </c>
      <c r="D24" s="22"/>
      <c r="F24" s="12"/>
      <c r="I24" s="4"/>
      <c r="J24" s="5"/>
    </row>
    <row r="25" spans="1:41" x14ac:dyDescent="0.3">
      <c r="A25" s="14" t="s">
        <v>13</v>
      </c>
      <c r="B25" s="4"/>
      <c r="C25" s="13" t="s">
        <v>56</v>
      </c>
      <c r="D25" s="4"/>
      <c r="F25" s="12"/>
      <c r="I25" s="4"/>
      <c r="J25" s="5"/>
    </row>
    <row r="26" spans="1:41" x14ac:dyDescent="0.3">
      <c r="A26" s="14" t="s">
        <v>13</v>
      </c>
      <c r="B26" s="4"/>
      <c r="C26" s="13" t="s">
        <v>56</v>
      </c>
      <c r="D26" s="4"/>
      <c r="F26" s="12"/>
      <c r="I26" s="4"/>
      <c r="J26" s="5"/>
    </row>
    <row r="27" spans="1:41" x14ac:dyDescent="0.3">
      <c r="A27" s="14" t="s">
        <v>13</v>
      </c>
      <c r="B27" s="4"/>
      <c r="C27" s="13" t="s">
        <v>56</v>
      </c>
      <c r="D27" s="4"/>
      <c r="F27" s="12"/>
      <c r="I27" s="4"/>
      <c r="J27" s="5"/>
    </row>
    <row r="28" spans="1:41" x14ac:dyDescent="0.3">
      <c r="A28" s="14" t="s">
        <v>59</v>
      </c>
      <c r="B28" s="4"/>
      <c r="C28" s="13"/>
      <c r="D28" s="4"/>
      <c r="F28" s="12"/>
      <c r="I28" s="4"/>
      <c r="J28" s="5"/>
    </row>
    <row r="29" spans="1:41" ht="12.9" thickBot="1" x14ac:dyDescent="0.35">
      <c r="A29" s="32" t="s">
        <v>38</v>
      </c>
      <c r="B29" s="31"/>
      <c r="C29" s="32" t="s">
        <v>39</v>
      </c>
      <c r="D29" s="33"/>
      <c r="F29" s="12"/>
      <c r="AL29" s="4"/>
      <c r="AM29" s="4"/>
      <c r="AN29" s="4"/>
      <c r="AO29" s="4"/>
    </row>
    <row r="30" spans="1:41" ht="12.9" thickBot="1" x14ac:dyDescent="0.35">
      <c r="A30" s="34" t="s">
        <v>0</v>
      </c>
      <c r="B30" s="31"/>
      <c r="C30" s="34" t="s">
        <v>0</v>
      </c>
      <c r="D30" s="33" t="s">
        <v>35</v>
      </c>
      <c r="E30" s="9" t="s">
        <v>36</v>
      </c>
      <c r="F30" s="10" t="s">
        <v>37</v>
      </c>
    </row>
    <row r="31" spans="1:41" x14ac:dyDescent="0.3">
      <c r="A31" s="14" t="s">
        <v>40</v>
      </c>
      <c r="B31" s="4">
        <f>+lisa!BB21</f>
        <v>39467.760000000002</v>
      </c>
      <c r="C31" s="13" t="s">
        <v>16</v>
      </c>
      <c r="D31" s="4"/>
      <c r="F31" s="12"/>
    </row>
    <row r="32" spans="1:41" x14ac:dyDescent="0.3">
      <c r="A32" s="14" t="s">
        <v>41</v>
      </c>
      <c r="B32" s="51">
        <f>+lisa!BB31</f>
        <v>342030.56</v>
      </c>
      <c r="C32" s="13" t="s">
        <v>22</v>
      </c>
      <c r="D32" s="4"/>
      <c r="F32" s="12"/>
    </row>
    <row r="33" spans="1:30" x14ac:dyDescent="0.3">
      <c r="A33" s="14" t="s">
        <v>47</v>
      </c>
      <c r="B33" s="4"/>
      <c r="C33" s="13" t="s">
        <v>48</v>
      </c>
      <c r="D33" s="4"/>
      <c r="F33" s="12"/>
    </row>
    <row r="34" spans="1:30" x14ac:dyDescent="0.3">
      <c r="A34" s="14"/>
      <c r="B34" s="4"/>
      <c r="C34" s="13"/>
      <c r="D34" s="6"/>
      <c r="F34" s="12"/>
    </row>
    <row r="35" spans="1:30" ht="12.9" thickBot="1" x14ac:dyDescent="0.35">
      <c r="A35" s="32" t="s">
        <v>39</v>
      </c>
      <c r="B35" s="31"/>
      <c r="C35" s="32" t="s">
        <v>38</v>
      </c>
      <c r="D35" s="33"/>
      <c r="F35" s="12"/>
    </row>
    <row r="36" spans="1:30" ht="12.9" thickBot="1" x14ac:dyDescent="0.35">
      <c r="A36" s="34" t="s">
        <v>0</v>
      </c>
      <c r="B36" s="31"/>
      <c r="C36" s="34" t="s">
        <v>0</v>
      </c>
      <c r="D36" s="33" t="s">
        <v>35</v>
      </c>
      <c r="E36" s="9" t="s">
        <v>36</v>
      </c>
      <c r="F36" s="10" t="s">
        <v>37</v>
      </c>
    </row>
    <row r="37" spans="1:30" x14ac:dyDescent="0.3">
      <c r="A37" s="14" t="s">
        <v>57</v>
      </c>
      <c r="B37">
        <v>0</v>
      </c>
      <c r="C37" s="14" t="s">
        <v>57</v>
      </c>
      <c r="D37" s="6"/>
      <c r="F37" s="12"/>
    </row>
    <row r="38" spans="1:30" x14ac:dyDescent="0.3">
      <c r="A38" s="14" t="s">
        <v>57</v>
      </c>
      <c r="C38" s="14" t="s">
        <v>57</v>
      </c>
      <c r="D38" s="6"/>
      <c r="F38" s="12"/>
    </row>
    <row r="39" spans="1:30" x14ac:dyDescent="0.3">
      <c r="A39" s="14" t="s">
        <v>17</v>
      </c>
      <c r="B39" s="4">
        <f>lisa!BB28+lisa!BB24+lisa!BB25+lisa!BB26+lisa!BB27</f>
        <v>-79194.47</v>
      </c>
      <c r="C39" s="14" t="s">
        <v>17</v>
      </c>
      <c r="D39" s="4"/>
      <c r="F39" s="12"/>
    </row>
    <row r="40" spans="1:30" x14ac:dyDescent="0.3">
      <c r="A40" s="14" t="s">
        <v>17</v>
      </c>
      <c r="B40" s="4"/>
      <c r="C40" s="14" t="s">
        <v>17</v>
      </c>
      <c r="D40" s="4"/>
      <c r="F40" s="12"/>
    </row>
    <row r="41" spans="1:30" x14ac:dyDescent="0.3">
      <c r="A41" s="14" t="s">
        <v>17</v>
      </c>
      <c r="B41" s="4"/>
      <c r="C41" s="14" t="s">
        <v>17</v>
      </c>
      <c r="D41" s="4"/>
      <c r="F41" s="12"/>
    </row>
    <row r="42" spans="1:30" x14ac:dyDescent="0.3">
      <c r="A42" s="14" t="s">
        <v>17</v>
      </c>
      <c r="B42" s="4"/>
      <c r="C42" s="14" t="s">
        <v>17</v>
      </c>
      <c r="D42" s="4"/>
      <c r="F42" s="12"/>
    </row>
    <row r="43" spans="1:30" x14ac:dyDescent="0.3">
      <c r="A43" s="14" t="s">
        <v>58</v>
      </c>
      <c r="B43" s="4"/>
      <c r="C43" s="13"/>
      <c r="D43" s="4"/>
      <c r="F43" s="12"/>
    </row>
    <row r="44" spans="1:30" x14ac:dyDescent="0.3">
      <c r="A44" s="13" t="s">
        <v>42</v>
      </c>
      <c r="B44" s="4"/>
      <c r="C44" s="13" t="s">
        <v>43</v>
      </c>
      <c r="F44" s="12"/>
    </row>
    <row r="45" spans="1:30" x14ac:dyDescent="0.3">
      <c r="A45" s="15" t="s">
        <v>44</v>
      </c>
      <c r="B45" s="16"/>
      <c r="C45" s="15" t="s">
        <v>44</v>
      </c>
      <c r="D45" s="16" t="s">
        <v>45</v>
      </c>
      <c r="E45" s="16"/>
      <c r="F45" s="17"/>
    </row>
    <row r="47" spans="1:30" x14ac:dyDescent="0.3">
      <c r="A47" s="36" t="s">
        <v>65</v>
      </c>
      <c r="B47" s="4">
        <f>SUM(B15:B28)</f>
        <v>-15495753.300000001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x14ac:dyDescent="0.3">
      <c r="A48" s="36" t="s">
        <v>66</v>
      </c>
      <c r="B48" s="4">
        <f>SUM(B31:B45)</f>
        <v>302303.84999999998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30" x14ac:dyDescent="0.3">
      <c r="C49" s="4"/>
      <c r="D49" s="4"/>
      <c r="E49" s="4">
        <f t="shared" ref="E49:AD49" si="0">D47-D48</f>
        <v>0</v>
      </c>
      <c r="F49" s="4">
        <f t="shared" si="0"/>
        <v>0</v>
      </c>
      <c r="G49" s="4">
        <f t="shared" si="0"/>
        <v>0</v>
      </c>
      <c r="H49" s="4">
        <f t="shared" si="0"/>
        <v>0</v>
      </c>
      <c r="I49" s="4">
        <f t="shared" si="0"/>
        <v>0</v>
      </c>
      <c r="J49" s="4">
        <f t="shared" si="0"/>
        <v>0</v>
      </c>
      <c r="K49" s="4">
        <f t="shared" si="0"/>
        <v>0</v>
      </c>
      <c r="L49" s="4">
        <f t="shared" si="0"/>
        <v>0</v>
      </c>
      <c r="M49" s="4">
        <f t="shared" si="0"/>
        <v>0</v>
      </c>
      <c r="N49" s="4">
        <f t="shared" si="0"/>
        <v>0</v>
      </c>
      <c r="O49" s="4">
        <f t="shared" si="0"/>
        <v>0</v>
      </c>
      <c r="P49" s="4">
        <f t="shared" si="0"/>
        <v>0</v>
      </c>
      <c r="Q49" s="4">
        <f t="shared" si="0"/>
        <v>0</v>
      </c>
      <c r="R49" s="4">
        <f t="shared" si="0"/>
        <v>0</v>
      </c>
      <c r="S49" s="4">
        <f t="shared" si="0"/>
        <v>0</v>
      </c>
      <c r="T49" s="4">
        <f t="shared" si="0"/>
        <v>0</v>
      </c>
      <c r="U49" s="4">
        <f t="shared" si="0"/>
        <v>0</v>
      </c>
      <c r="V49" s="4">
        <f t="shared" si="0"/>
        <v>0</v>
      </c>
      <c r="W49" s="4">
        <f t="shared" si="0"/>
        <v>0</v>
      </c>
      <c r="X49" s="4">
        <f t="shared" si="0"/>
        <v>0</v>
      </c>
      <c r="Y49" s="4">
        <f t="shared" si="0"/>
        <v>0</v>
      </c>
      <c r="Z49" s="4">
        <f t="shared" si="0"/>
        <v>0</v>
      </c>
      <c r="AA49" s="4">
        <f t="shared" si="0"/>
        <v>0</v>
      </c>
      <c r="AB49" s="4">
        <f t="shared" si="0"/>
        <v>0</v>
      </c>
      <c r="AC49" s="4">
        <f t="shared" si="0"/>
        <v>0</v>
      </c>
      <c r="AD49" s="4">
        <f t="shared" si="0"/>
        <v>0</v>
      </c>
    </row>
    <row r="50" spans="2:30" x14ac:dyDescent="0.3">
      <c r="B50" s="4"/>
    </row>
  </sheetData>
  <mergeCells count="3">
    <mergeCell ref="C12:F12"/>
    <mergeCell ref="J15:K15"/>
    <mergeCell ref="J16:K16"/>
  </mergeCells>
  <pageMargins left="0.47244094488188981" right="0.47244094488188981" top="0.43307086614173229" bottom="0.55118110236220474" header="0.31496062992125984" footer="0.51181102362204722"/>
  <pageSetup scale="9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4"/>
  <sheetViews>
    <sheetView zoomScale="90" zoomScaleNormal="90" workbookViewId="0">
      <selection activeCell="A7" sqref="A7"/>
    </sheetView>
  </sheetViews>
  <sheetFormatPr defaultRowHeight="12.45" x14ac:dyDescent="0.3"/>
  <cols>
    <col min="1" max="1" width="3.765625" customWidth="1"/>
    <col min="5" max="5" width="33.23046875" customWidth="1"/>
    <col min="6" max="6" width="14.53515625" customWidth="1"/>
    <col min="7" max="7" width="15.53515625" style="2" hidden="1" customWidth="1"/>
    <col min="8" max="8" width="12" hidden="1" customWidth="1"/>
    <col min="9" max="9" width="15" hidden="1" customWidth="1"/>
    <col min="10" max="10" width="11.53515625" hidden="1" customWidth="1"/>
    <col min="11" max="11" width="16.23046875" hidden="1" customWidth="1"/>
    <col min="12" max="12" width="11.4609375" hidden="1" customWidth="1"/>
    <col min="13" max="13" width="14.4609375" hidden="1" customWidth="1"/>
    <col min="14" max="14" width="9.53515625" hidden="1" customWidth="1"/>
    <col min="15" max="15" width="13.765625" hidden="1" customWidth="1"/>
    <col min="16" max="16" width="12.23046875" hidden="1" customWidth="1"/>
    <col min="17" max="17" width="14" hidden="1" customWidth="1"/>
    <col min="18" max="18" width="14" style="2" hidden="1" customWidth="1"/>
    <col min="19" max="19" width="14.4609375" style="2" hidden="1" customWidth="1"/>
    <col min="20" max="20" width="11.07421875" style="2" hidden="1" customWidth="1"/>
    <col min="21" max="21" width="13.4609375" style="2" hidden="1" customWidth="1"/>
    <col min="22" max="22" width="12.765625" hidden="1" customWidth="1"/>
    <col min="23" max="23" width="15.07421875" hidden="1" customWidth="1"/>
    <col min="24" max="24" width="11.53515625" hidden="1" customWidth="1"/>
    <col min="25" max="25" width="13.4609375" hidden="1" customWidth="1"/>
    <col min="26" max="26" width="11.07421875" hidden="1" customWidth="1"/>
    <col min="27" max="27" width="15.53515625" hidden="1" customWidth="1"/>
    <col min="28" max="28" width="11.69140625" hidden="1" customWidth="1"/>
    <col min="29" max="30" width="14.23046875" hidden="1" customWidth="1"/>
    <col min="31" max="31" width="12.84375" hidden="1" customWidth="1"/>
    <col min="32" max="32" width="13.23046875" hidden="1" customWidth="1"/>
    <col min="33" max="33" width="14.23046875" hidden="1" customWidth="1"/>
    <col min="34" max="34" width="12.53515625" hidden="1" customWidth="1"/>
    <col min="35" max="35" width="14.53515625" hidden="1" customWidth="1"/>
    <col min="36" max="36" width="11.69140625" hidden="1" customWidth="1"/>
    <col min="37" max="37" width="12.765625" hidden="1" customWidth="1"/>
    <col min="38" max="38" width="12.53515625" hidden="1" customWidth="1"/>
    <col min="39" max="39" width="13.69140625" hidden="1" customWidth="1"/>
    <col min="40" max="40" width="12.3046875" hidden="1" customWidth="1"/>
    <col min="41" max="41" width="16.53515625" hidden="1" customWidth="1"/>
    <col min="42" max="42" width="12.765625" hidden="1" customWidth="1"/>
    <col min="43" max="43" width="14.765625" hidden="1" customWidth="1"/>
    <col min="44" max="44" width="11.3046875" hidden="1" customWidth="1"/>
    <col min="45" max="45" width="14.765625" hidden="1" customWidth="1"/>
    <col min="46" max="46" width="12.69140625" hidden="1" customWidth="1"/>
    <col min="47" max="47" width="15.84375" hidden="1" customWidth="1"/>
    <col min="48" max="48" width="11.69140625" hidden="1" customWidth="1"/>
    <col min="49" max="49" width="13.53515625" hidden="1" customWidth="1"/>
    <col min="50" max="50" width="2.53515625" hidden="1" customWidth="1"/>
    <col min="51" max="51" width="8" hidden="1" customWidth="1"/>
    <col min="52" max="52" width="8.921875" hidden="1" customWidth="1"/>
    <col min="53" max="53" width="13.69140625" customWidth="1"/>
    <col min="54" max="54" width="12.53515625" customWidth="1"/>
    <col min="55" max="55" width="13.4609375" customWidth="1"/>
    <col min="56" max="56" width="16.3828125" hidden="1" customWidth="1"/>
    <col min="57" max="57" width="15.07421875" customWidth="1"/>
    <col min="58" max="58" width="12.53515625" bestFit="1" customWidth="1"/>
    <col min="64" max="64" width="17.23046875" customWidth="1"/>
  </cols>
  <sheetData>
    <row r="1" spans="1:58" x14ac:dyDescent="0.3">
      <c r="BB1" s="38" t="s">
        <v>64</v>
      </c>
    </row>
    <row r="2" spans="1:58" x14ac:dyDescent="0.3">
      <c r="BB2" s="38" t="s">
        <v>63</v>
      </c>
    </row>
    <row r="3" spans="1:58" x14ac:dyDescent="0.3">
      <c r="A3" s="1" t="s">
        <v>12</v>
      </c>
      <c r="B3" s="1"/>
    </row>
    <row r="4" spans="1:58" x14ac:dyDescent="0.3">
      <c r="A4" s="1" t="s">
        <v>4</v>
      </c>
      <c r="B4" s="1"/>
      <c r="C4" s="1"/>
      <c r="D4" s="1"/>
      <c r="E4" s="1"/>
      <c r="F4" s="1"/>
    </row>
    <row r="5" spans="1:58" x14ac:dyDescent="0.3">
      <c r="A5" s="1" t="s">
        <v>18</v>
      </c>
      <c r="B5" s="1"/>
      <c r="C5" s="1"/>
      <c r="D5" s="1"/>
      <c r="E5" s="1"/>
      <c r="F5" s="1"/>
    </row>
    <row r="6" spans="1:58" x14ac:dyDescent="0.3">
      <c r="A6" s="1" t="s">
        <v>73</v>
      </c>
      <c r="B6" s="1"/>
      <c r="C6" s="1"/>
      <c r="D6" s="1"/>
      <c r="E6" s="1"/>
      <c r="F6" s="1"/>
    </row>
    <row r="7" spans="1:58" ht="24.9" x14ac:dyDescent="0.3">
      <c r="A7" s="1"/>
      <c r="B7" s="1"/>
      <c r="C7" s="1"/>
      <c r="D7" s="1"/>
      <c r="E7" s="1"/>
      <c r="F7" s="30" t="s">
        <v>61</v>
      </c>
      <c r="G7" s="25">
        <v>43555</v>
      </c>
      <c r="H7" s="20" t="s">
        <v>19</v>
      </c>
      <c r="I7" s="20">
        <v>43646</v>
      </c>
      <c r="J7" s="20" t="s">
        <v>19</v>
      </c>
      <c r="K7" s="20">
        <v>43738</v>
      </c>
      <c r="L7" s="20" t="s">
        <v>19</v>
      </c>
      <c r="M7" s="20">
        <v>43830</v>
      </c>
      <c r="N7" s="28" t="s">
        <v>19</v>
      </c>
      <c r="O7" s="25">
        <v>43921</v>
      </c>
      <c r="P7" s="28" t="s">
        <v>19</v>
      </c>
      <c r="Q7" s="25">
        <v>44012</v>
      </c>
      <c r="R7" s="25" t="s">
        <v>19</v>
      </c>
      <c r="S7" s="25">
        <v>44104</v>
      </c>
      <c r="T7" s="25" t="s">
        <v>19</v>
      </c>
      <c r="U7" s="25">
        <v>44196</v>
      </c>
      <c r="V7" s="20" t="s">
        <v>19</v>
      </c>
      <c r="W7" s="20">
        <v>44286</v>
      </c>
      <c r="X7" s="20" t="s">
        <v>19</v>
      </c>
      <c r="Y7" s="20">
        <v>44377</v>
      </c>
      <c r="Z7" s="20" t="s">
        <v>19</v>
      </c>
      <c r="AA7" s="20">
        <v>44469</v>
      </c>
      <c r="AB7" s="20" t="s">
        <v>19</v>
      </c>
      <c r="AC7" s="20">
        <v>44561</v>
      </c>
      <c r="AD7" s="20" t="s">
        <v>19</v>
      </c>
      <c r="AE7" s="20">
        <v>44651</v>
      </c>
      <c r="AF7" s="20" t="s">
        <v>19</v>
      </c>
      <c r="AG7" s="20">
        <v>44742</v>
      </c>
      <c r="AH7" s="20" t="s">
        <v>19</v>
      </c>
      <c r="AI7" s="20">
        <v>44834</v>
      </c>
      <c r="AJ7" s="20" t="s">
        <v>19</v>
      </c>
      <c r="AK7" s="20">
        <v>44926</v>
      </c>
      <c r="AL7" s="20" t="s">
        <v>19</v>
      </c>
      <c r="AM7" s="20">
        <v>45016</v>
      </c>
      <c r="AN7" s="20" t="s">
        <v>19</v>
      </c>
      <c r="AO7" s="20">
        <v>45107</v>
      </c>
      <c r="AP7" s="25" t="s">
        <v>19</v>
      </c>
      <c r="AQ7" s="25">
        <v>45199</v>
      </c>
      <c r="AR7" s="20" t="s">
        <v>19</v>
      </c>
      <c r="AS7" s="20">
        <v>45291</v>
      </c>
      <c r="AT7" s="20" t="s">
        <v>19</v>
      </c>
      <c r="AU7" s="20">
        <v>45382</v>
      </c>
      <c r="AV7" s="20" t="s">
        <v>19</v>
      </c>
      <c r="AW7" s="20">
        <v>45473</v>
      </c>
      <c r="AX7" s="20" t="s">
        <v>19</v>
      </c>
      <c r="AY7" s="20">
        <v>45565</v>
      </c>
      <c r="AZ7" s="20" t="s">
        <v>19</v>
      </c>
      <c r="BA7" s="20">
        <v>45657</v>
      </c>
      <c r="BB7" s="20" t="s">
        <v>19</v>
      </c>
      <c r="BC7" s="20">
        <v>45930</v>
      </c>
    </row>
    <row r="8" spans="1:58" x14ac:dyDescent="0.3">
      <c r="A8" s="2" t="s">
        <v>5</v>
      </c>
      <c r="B8" s="2"/>
      <c r="C8" s="1"/>
      <c r="E8" s="1"/>
      <c r="F8" s="3" t="s">
        <v>13</v>
      </c>
      <c r="G8" s="22">
        <v>14401095.09</v>
      </c>
      <c r="H8" s="4"/>
      <c r="I8" s="4">
        <f>G8+H9+H10+H11</f>
        <v>14418891.779999999</v>
      </c>
      <c r="J8" s="4"/>
      <c r="K8" s="4">
        <f>I8+J9+J10+J11</f>
        <v>14447064.989999998</v>
      </c>
      <c r="M8" s="4">
        <v>14584659.720000001</v>
      </c>
      <c r="N8" s="4"/>
      <c r="O8" s="4">
        <v>14645346.470000001</v>
      </c>
      <c r="P8" s="4"/>
      <c r="Q8" s="4">
        <v>14769295.289999999</v>
      </c>
      <c r="R8" s="22"/>
      <c r="S8" s="22">
        <v>14857918.75</v>
      </c>
      <c r="U8" s="22">
        <v>14940430.26</v>
      </c>
      <c r="V8" s="4"/>
      <c r="W8" s="4">
        <v>14934728.630000001</v>
      </c>
      <c r="Y8" s="4">
        <v>15072325.890000001</v>
      </c>
      <c r="Z8" s="4"/>
      <c r="AA8" s="4">
        <v>15162734.43</v>
      </c>
      <c r="AB8" s="4"/>
      <c r="AC8" s="4">
        <f>AA8+AB9+AB10+AB11+AB12</f>
        <v>14864754.539999999</v>
      </c>
      <c r="AD8" s="4"/>
      <c r="AE8" s="29">
        <v>14926077.640000001</v>
      </c>
      <c r="AF8" s="29"/>
      <c r="AG8" s="29">
        <v>14910048.91</v>
      </c>
      <c r="AH8" s="29"/>
      <c r="AI8" s="29">
        <v>14585349.57</v>
      </c>
      <c r="AJ8" s="29"/>
      <c r="AK8" s="29">
        <v>14816198</v>
      </c>
      <c r="AL8" s="4"/>
      <c r="AM8" s="4">
        <v>14774710.33</v>
      </c>
      <c r="AN8" s="4"/>
      <c r="AO8" s="4">
        <v>14798087.300000001</v>
      </c>
      <c r="AP8" s="4"/>
      <c r="AQ8" s="4">
        <v>14731829.810000001</v>
      </c>
      <c r="AS8" s="4">
        <v>15011363.5</v>
      </c>
      <c r="AT8" s="4"/>
      <c r="AU8" s="4">
        <v>15059238.359999999</v>
      </c>
      <c r="AW8" s="4">
        <v>14995486.119999999</v>
      </c>
      <c r="AX8" s="4"/>
      <c r="AY8" s="4">
        <v>15302859.91</v>
      </c>
      <c r="AZ8" s="4"/>
      <c r="BA8" s="22">
        <v>-15425957.279999999</v>
      </c>
      <c r="BB8" s="22"/>
      <c r="BC8" s="22">
        <f>+BA8+BB9+BB10+BB11+BB12</f>
        <v>-15814035.25</v>
      </c>
      <c r="BD8" s="22"/>
      <c r="BE8" s="22"/>
      <c r="BF8" s="4"/>
    </row>
    <row r="9" spans="1:58" x14ac:dyDescent="0.3">
      <c r="A9" s="2"/>
      <c r="B9" s="2"/>
      <c r="C9" s="1" t="s">
        <v>49</v>
      </c>
      <c r="E9" s="1"/>
      <c r="F9" s="3" t="s">
        <v>13</v>
      </c>
      <c r="H9" s="4">
        <v>0</v>
      </c>
      <c r="I9" s="4"/>
      <c r="J9" s="4">
        <v>0</v>
      </c>
      <c r="K9" s="4"/>
      <c r="L9" s="4">
        <v>0</v>
      </c>
      <c r="N9" s="4"/>
      <c r="O9" s="4"/>
      <c r="P9" s="4">
        <v>0</v>
      </c>
      <c r="Q9" s="4"/>
      <c r="R9" s="22">
        <v>0</v>
      </c>
      <c r="S9" s="22"/>
      <c r="T9" s="22">
        <v>0</v>
      </c>
      <c r="V9" s="4">
        <v>0</v>
      </c>
      <c r="W9" s="4"/>
      <c r="X9" s="4">
        <v>0</v>
      </c>
      <c r="Z9" s="4">
        <v>0</v>
      </c>
      <c r="AA9" s="4"/>
      <c r="AB9" s="4">
        <v>0</v>
      </c>
      <c r="AC9" s="4"/>
      <c r="AD9" s="4">
        <v>0</v>
      </c>
      <c r="AE9" s="4"/>
      <c r="AF9" s="4">
        <v>0</v>
      </c>
      <c r="AG9" s="4"/>
      <c r="AH9" s="4">
        <v>0</v>
      </c>
      <c r="AI9" s="4"/>
      <c r="AJ9" s="4">
        <v>0</v>
      </c>
      <c r="AK9" s="4"/>
      <c r="AL9" s="4">
        <v>0</v>
      </c>
      <c r="AM9" s="4"/>
      <c r="AN9" s="4">
        <v>0</v>
      </c>
      <c r="AO9" s="4"/>
      <c r="AP9" s="4">
        <v>0</v>
      </c>
      <c r="AQ9" s="4"/>
      <c r="AR9" s="35">
        <v>237458</v>
      </c>
      <c r="AT9" s="4">
        <v>129829.55</v>
      </c>
      <c r="AU9" s="4"/>
      <c r="AX9" s="4">
        <v>285817.52</v>
      </c>
      <c r="AY9" s="4"/>
      <c r="AZ9" s="4">
        <v>92897.06</v>
      </c>
      <c r="BA9" s="22"/>
      <c r="BB9" s="22">
        <f>-342030-0.56</f>
        <v>-342030.56</v>
      </c>
      <c r="BC9" s="22"/>
      <c r="BD9" s="50" t="s">
        <v>68</v>
      </c>
      <c r="BE9" s="22"/>
    </row>
    <row r="10" spans="1:58" x14ac:dyDescent="0.3">
      <c r="C10" s="5" t="s">
        <v>50</v>
      </c>
      <c r="F10" s="3" t="s">
        <v>13</v>
      </c>
      <c r="H10" s="4">
        <v>20692.990000000002</v>
      </c>
      <c r="I10" s="4"/>
      <c r="J10" s="4">
        <v>33144.870000000003</v>
      </c>
      <c r="K10" s="4"/>
      <c r="L10" s="4">
        <v>63611.43</v>
      </c>
      <c r="N10" s="4">
        <v>71396</v>
      </c>
      <c r="O10" s="4"/>
      <c r="P10" s="4">
        <v>145822.10999999999</v>
      </c>
      <c r="Q10" s="4"/>
      <c r="R10" s="22">
        <v>125435.44</v>
      </c>
      <c r="S10" s="22"/>
      <c r="T10" s="22">
        <v>97072.41</v>
      </c>
      <c r="V10" s="4">
        <v>118796</v>
      </c>
      <c r="W10" s="4"/>
      <c r="X10" s="4">
        <v>137155.62</v>
      </c>
      <c r="Z10" s="4">
        <v>111435.04</v>
      </c>
      <c r="AA10" s="4"/>
      <c r="AB10" s="4">
        <v>249462.69</v>
      </c>
      <c r="AC10" s="4"/>
      <c r="AD10" s="4">
        <v>87865.15</v>
      </c>
      <c r="AE10" s="4"/>
      <c r="AF10" s="4">
        <v>61148.02</v>
      </c>
      <c r="AG10" s="4"/>
      <c r="AH10" s="4">
        <v>41550.11</v>
      </c>
      <c r="AI10" s="4"/>
      <c r="AJ10" s="22">
        <v>32178.080000000002</v>
      </c>
      <c r="AK10" s="22"/>
      <c r="AL10" s="4">
        <v>3697.6</v>
      </c>
      <c r="AM10" s="4"/>
      <c r="AN10" s="4">
        <v>27502.32</v>
      </c>
      <c r="AO10" s="4"/>
      <c r="AP10" s="4">
        <v>37223.5</v>
      </c>
      <c r="AQ10" s="4"/>
      <c r="AR10" s="4">
        <v>2442.02</v>
      </c>
      <c r="AT10" s="4">
        <v>5905.42</v>
      </c>
      <c r="AU10" s="4"/>
      <c r="AV10" s="4">
        <v>14480.74</v>
      </c>
      <c r="AX10" s="4">
        <v>25360.37</v>
      </c>
      <c r="AY10" s="4"/>
      <c r="AZ10" s="4">
        <v>6118</v>
      </c>
      <c r="BA10" s="22"/>
      <c r="BB10" s="22">
        <v>-39467.760000000002</v>
      </c>
      <c r="BC10" s="22"/>
      <c r="BD10" s="36">
        <v>3051</v>
      </c>
      <c r="BE10" s="22"/>
    </row>
    <row r="11" spans="1:58" x14ac:dyDescent="0.3">
      <c r="C11" s="5" t="s">
        <v>51</v>
      </c>
      <c r="F11" s="3" t="s">
        <v>13</v>
      </c>
      <c r="H11" s="4">
        <v>-2896.3</v>
      </c>
      <c r="J11" s="4">
        <v>-4971.66</v>
      </c>
      <c r="L11" s="4">
        <v>-9911.82</v>
      </c>
      <c r="N11" s="4">
        <v>-10709.36</v>
      </c>
      <c r="O11" s="4"/>
      <c r="P11" s="4">
        <v>-21873.360000000001</v>
      </c>
      <c r="R11" s="22">
        <v>-18808.189999999999</v>
      </c>
      <c r="T11" s="22">
        <v>-14560.91</v>
      </c>
      <c r="V11" s="4">
        <v>-17819.59</v>
      </c>
      <c r="X11" s="4">
        <v>-20573.310000000001</v>
      </c>
      <c r="Z11" s="4">
        <v>-16715.27</v>
      </c>
      <c r="AB11" s="4">
        <v>-37419.25</v>
      </c>
      <c r="AD11" s="4">
        <v>-13179.75</v>
      </c>
      <c r="AE11" s="4"/>
      <c r="AF11" s="4">
        <v>-9172.23</v>
      </c>
      <c r="AG11" s="4"/>
      <c r="AH11" s="4">
        <v>-6232.49</v>
      </c>
      <c r="AI11" s="4"/>
      <c r="AJ11" s="22">
        <v>-4826.68</v>
      </c>
      <c r="AK11" s="22"/>
      <c r="AL11" s="4">
        <v>-554.64</v>
      </c>
      <c r="AM11" s="4"/>
      <c r="AN11" s="4">
        <v>-4679.9799999999996</v>
      </c>
      <c r="AO11" s="4"/>
      <c r="AP11" s="4">
        <v>-10263.51</v>
      </c>
      <c r="AQ11" s="4"/>
      <c r="AR11" s="4">
        <v>-366.29</v>
      </c>
      <c r="AT11" s="4">
        <v>-885.82</v>
      </c>
      <c r="AU11" s="4"/>
      <c r="AV11" s="4">
        <v>-2172.12</v>
      </c>
      <c r="AX11" s="4">
        <v>-3804.05</v>
      </c>
      <c r="AY11" s="4"/>
      <c r="AZ11" s="4">
        <v>-917.69</v>
      </c>
      <c r="BA11" s="22"/>
      <c r="BB11" s="22">
        <f>5920.35</f>
        <v>5920.35</v>
      </c>
      <c r="BC11" s="22"/>
      <c r="BD11" s="36">
        <v>4950</v>
      </c>
      <c r="BE11" s="22"/>
    </row>
    <row r="12" spans="1:58" x14ac:dyDescent="0.3">
      <c r="C12" s="2" t="s">
        <v>72</v>
      </c>
      <c r="F12" s="3" t="s">
        <v>13</v>
      </c>
      <c r="H12">
        <v>0</v>
      </c>
      <c r="J12">
        <v>0</v>
      </c>
      <c r="L12" s="4">
        <v>83895</v>
      </c>
      <c r="N12" s="4"/>
      <c r="O12" s="4"/>
      <c r="R12" s="22">
        <v>-18003.87</v>
      </c>
      <c r="V12" s="4">
        <v>-106678.54</v>
      </c>
      <c r="X12" s="4">
        <v>21014.880000000001</v>
      </c>
      <c r="Z12" s="4">
        <v>-4311.34</v>
      </c>
      <c r="AB12" s="4">
        <v>-510023.33</v>
      </c>
      <c r="AD12" s="4">
        <v>-13362.3</v>
      </c>
      <c r="AE12" s="4"/>
      <c r="AF12" s="4">
        <v>-68004.539999999994</v>
      </c>
      <c r="AG12" s="4"/>
      <c r="AH12" s="4">
        <v>-360016.91</v>
      </c>
      <c r="AI12" s="4"/>
      <c r="AJ12" s="22">
        <v>-2117.3000000000002</v>
      </c>
      <c r="AK12" s="22"/>
      <c r="AL12" s="4">
        <v>-44630.63</v>
      </c>
      <c r="AM12" s="4"/>
      <c r="AN12" s="4">
        <v>554.63</v>
      </c>
      <c r="AO12" s="4"/>
      <c r="AP12" s="4">
        <v>-93217.48000000001</v>
      </c>
      <c r="AQ12" s="4"/>
      <c r="AR12" s="4">
        <v>40000</v>
      </c>
      <c r="AT12" s="4">
        <v>-86974.29</v>
      </c>
      <c r="AU12" s="4"/>
      <c r="AV12" s="4">
        <f>-86060.9+10000</f>
        <v>-76060.899999999994</v>
      </c>
      <c r="AX12" s="4"/>
      <c r="AY12" s="4"/>
      <c r="AZ12" s="4">
        <v>25000</v>
      </c>
      <c r="BA12" s="22"/>
      <c r="BB12" s="22">
        <f>-12500</f>
        <v>-12500</v>
      </c>
      <c r="BC12" s="22"/>
      <c r="BD12" s="22"/>
      <c r="BE12" s="22"/>
    </row>
    <row r="13" spans="1:58" x14ac:dyDescent="0.3">
      <c r="C13" s="5"/>
      <c r="F13" s="3"/>
      <c r="L13" s="4"/>
      <c r="N13" s="4"/>
      <c r="O13" s="4"/>
      <c r="P13" s="4"/>
      <c r="Q13" s="4"/>
      <c r="R13" s="22"/>
      <c r="S13" s="22"/>
      <c r="AB13" s="4"/>
      <c r="AC13" s="4"/>
      <c r="AD13" s="4"/>
      <c r="AJ13" s="22"/>
      <c r="AK13" s="22"/>
      <c r="AL13" s="4"/>
      <c r="AM13" s="4"/>
      <c r="AP13" s="4"/>
      <c r="AQ13" s="4"/>
      <c r="BA13" s="22"/>
      <c r="BB13" s="22"/>
      <c r="BC13" s="22"/>
      <c r="BD13" s="22"/>
      <c r="BE13" s="22"/>
    </row>
    <row r="14" spans="1:58" x14ac:dyDescent="0.3">
      <c r="F14" s="2"/>
      <c r="L14" s="4"/>
      <c r="N14" s="4"/>
      <c r="O14" s="4"/>
      <c r="P14" s="4"/>
      <c r="Q14" s="4"/>
      <c r="R14" s="22"/>
      <c r="S14" s="22"/>
      <c r="AB14" s="4"/>
      <c r="AC14" s="4"/>
      <c r="AD14" s="4"/>
      <c r="AJ14" s="22"/>
      <c r="AK14" s="22"/>
      <c r="AP14" s="4"/>
      <c r="AQ14" s="4"/>
      <c r="BA14" s="22"/>
      <c r="BB14" s="22"/>
      <c r="BC14" s="22"/>
      <c r="BD14" s="22"/>
      <c r="BE14" s="22"/>
    </row>
    <row r="15" spans="1:58" x14ac:dyDescent="0.3">
      <c r="A15" s="2" t="s">
        <v>7</v>
      </c>
      <c r="F15" s="2"/>
      <c r="L15" s="4"/>
      <c r="N15" s="4"/>
      <c r="O15" s="4"/>
      <c r="Z15" s="2"/>
      <c r="AA15" s="2"/>
      <c r="AJ15" s="2"/>
      <c r="AK15" s="2"/>
      <c r="BA15" s="4"/>
      <c r="BB15" s="4"/>
      <c r="BC15" s="4"/>
      <c r="BD15" s="4"/>
      <c r="BE15" s="4"/>
    </row>
    <row r="16" spans="1:58" x14ac:dyDescent="0.3">
      <c r="B16" s="2" t="s">
        <v>6</v>
      </c>
      <c r="F16" s="3" t="s">
        <v>14</v>
      </c>
      <c r="G16" s="22" t="e">
        <f>#REF!-#REF!</f>
        <v>#REF!</v>
      </c>
      <c r="H16" s="4">
        <v>-1532.6499999999996</v>
      </c>
      <c r="I16" s="4">
        <v>5336.3</v>
      </c>
      <c r="J16" s="4">
        <v>-4772</v>
      </c>
      <c r="K16" s="4">
        <v>564.29999999999995</v>
      </c>
      <c r="L16" s="4">
        <v>6647.05</v>
      </c>
      <c r="M16" s="4">
        <f>K16+L16</f>
        <v>7211.35</v>
      </c>
      <c r="N16" s="4">
        <v>1280.5899999999999</v>
      </c>
      <c r="O16" s="4">
        <f>M16+N16</f>
        <v>8491.94</v>
      </c>
      <c r="P16" s="4">
        <v>2834.56</v>
      </c>
      <c r="Q16" s="4">
        <v>11326.5</v>
      </c>
      <c r="R16" s="22">
        <v>3395.76</v>
      </c>
      <c r="S16" s="22">
        <v>14722.26</v>
      </c>
      <c r="T16" s="22">
        <v>-1938.16</v>
      </c>
      <c r="U16" s="22">
        <v>12784.1</v>
      </c>
      <c r="V16" s="4">
        <v>-462.29</v>
      </c>
      <c r="W16" s="4">
        <v>12321.81</v>
      </c>
      <c r="X16" s="4">
        <v>48.39</v>
      </c>
      <c r="Y16" s="4">
        <f>W16+X16</f>
        <v>12370.199999999999</v>
      </c>
      <c r="Z16" s="22">
        <v>-1219.46</v>
      </c>
      <c r="AA16" s="22">
        <f>Y16+Z16</f>
        <v>11150.739999999998</v>
      </c>
      <c r="AB16" s="4">
        <v>7426.2500000000036</v>
      </c>
      <c r="AC16" s="4">
        <v>18576.990000000002</v>
      </c>
      <c r="AD16" s="4">
        <v>-8109.7100000000009</v>
      </c>
      <c r="AE16" s="4">
        <v>10467.280000000001</v>
      </c>
      <c r="AF16" s="4">
        <v>-1488.4400000000005</v>
      </c>
      <c r="AG16" s="4">
        <v>8978.84</v>
      </c>
      <c r="AH16" s="4">
        <f>AI16-AG16</f>
        <v>1038.5499999999993</v>
      </c>
      <c r="AI16" s="4">
        <v>10017.39</v>
      </c>
      <c r="AJ16" s="22">
        <v>1058.1599999999999</v>
      </c>
      <c r="AK16" s="22">
        <v>8959.23</v>
      </c>
      <c r="AL16" s="4">
        <f>AK16-AM16</f>
        <v>455.60000000000036</v>
      </c>
      <c r="AM16" s="4">
        <v>8503.6299999999992</v>
      </c>
      <c r="AN16" s="4">
        <v>1052.75</v>
      </c>
      <c r="AO16" s="4">
        <v>9556.3799999999992</v>
      </c>
      <c r="AP16" s="4">
        <v>-439.96999999999935</v>
      </c>
      <c r="AQ16" s="4">
        <v>9116.41</v>
      </c>
      <c r="AR16" s="4">
        <v>-1144.6499999999996</v>
      </c>
      <c r="AS16" s="4">
        <v>7971.76</v>
      </c>
      <c r="AT16" s="4">
        <f>AU16-AS16</f>
        <v>-29.800000000000182</v>
      </c>
      <c r="AU16" s="4">
        <v>7941.96</v>
      </c>
      <c r="AV16" s="4">
        <v>359.39000000000033</v>
      </c>
      <c r="AW16" s="4">
        <v>8301.35</v>
      </c>
      <c r="AX16" s="4">
        <f>AY16-AW16</f>
        <v>-481.70000000000073</v>
      </c>
      <c r="AY16" s="4">
        <v>7819.65</v>
      </c>
      <c r="AZ16" s="4">
        <f>BA16-AY16</f>
        <v>-15696.97</v>
      </c>
      <c r="BA16" s="4">
        <v>-7877.32</v>
      </c>
      <c r="BB16" s="4">
        <v>-1010.88</v>
      </c>
      <c r="BC16" s="4">
        <f>+BA16+BB16</f>
        <v>-8888.1999999999989</v>
      </c>
      <c r="BD16" s="40" t="s">
        <v>67</v>
      </c>
      <c r="BE16" s="4"/>
      <c r="BF16" s="4"/>
    </row>
    <row r="17" spans="1:57" x14ac:dyDescent="0.3">
      <c r="B17" t="s">
        <v>2</v>
      </c>
      <c r="F17" t="s">
        <v>55</v>
      </c>
      <c r="G17" s="22">
        <v>-3396</v>
      </c>
      <c r="H17" s="4">
        <v>-354</v>
      </c>
      <c r="I17" s="4">
        <v>-3750</v>
      </c>
      <c r="J17" s="4">
        <v>-509</v>
      </c>
      <c r="K17" s="4">
        <v>-4259</v>
      </c>
      <c r="L17" s="4">
        <v>-1243</v>
      </c>
      <c r="M17" s="4">
        <f>K17+L17</f>
        <v>-5502</v>
      </c>
      <c r="N17" s="4">
        <v>-8229</v>
      </c>
      <c r="O17" s="4">
        <f t="shared" ref="O17:O18" si="0">M17+N17</f>
        <v>-13731</v>
      </c>
      <c r="P17" s="4">
        <v>-19157</v>
      </c>
      <c r="Q17" s="4">
        <v>-32888</v>
      </c>
      <c r="R17" s="22">
        <v>-15683</v>
      </c>
      <c r="S17" s="22">
        <v>-48571</v>
      </c>
      <c r="T17" s="22">
        <v>15901</v>
      </c>
      <c r="U17" s="22">
        <v>-32670</v>
      </c>
      <c r="V17" s="4">
        <v>-515</v>
      </c>
      <c r="W17" s="4">
        <f>U17+V17</f>
        <v>-33185</v>
      </c>
      <c r="X17" s="4">
        <v>-302</v>
      </c>
      <c r="Y17" s="4">
        <f>W17+X17</f>
        <v>-33487</v>
      </c>
      <c r="Z17" s="22">
        <v>8013</v>
      </c>
      <c r="AA17" s="22">
        <f>Y17+Z17</f>
        <v>-25474</v>
      </c>
      <c r="AB17" s="4">
        <v>2803</v>
      </c>
      <c r="AC17" s="4">
        <v>-22671</v>
      </c>
      <c r="AD17" s="4">
        <v>2410</v>
      </c>
      <c r="AE17" s="4">
        <v>-20261</v>
      </c>
      <c r="AF17" s="4">
        <v>9262</v>
      </c>
      <c r="AG17" s="4">
        <v>-10999</v>
      </c>
      <c r="AH17" s="4">
        <v>290</v>
      </c>
      <c r="AI17" s="4">
        <f>AG17+AH17</f>
        <v>-10709</v>
      </c>
      <c r="AJ17" s="22">
        <v>5177</v>
      </c>
      <c r="AK17" s="22">
        <f>AI17+AJ17</f>
        <v>-5532</v>
      </c>
      <c r="AL17" s="4">
        <f>AM17-AK17</f>
        <v>-7318.6299999999992</v>
      </c>
      <c r="AM17" s="4">
        <v>-12850.63</v>
      </c>
      <c r="AN17" s="4">
        <v>-20464.39</v>
      </c>
      <c r="AO17" s="4">
        <v>-33315.019999999997</v>
      </c>
      <c r="AP17" s="4">
        <v>9031.4699999999993</v>
      </c>
      <c r="AQ17" s="4">
        <v>-24283.549999999996</v>
      </c>
      <c r="AR17" s="35">
        <v>13430.28</v>
      </c>
      <c r="AS17" s="35">
        <v>-10853.269999999995</v>
      </c>
      <c r="AT17" s="4">
        <f>AU17-AS17</f>
        <v>15081.319999999996</v>
      </c>
      <c r="AU17" s="4">
        <v>4228.05</v>
      </c>
      <c r="AV17" s="4">
        <v>-1038</v>
      </c>
      <c r="AW17" s="4">
        <v>3190.05</v>
      </c>
      <c r="AX17" s="4">
        <f>AY17-AW17</f>
        <v>-441.44000000000005</v>
      </c>
      <c r="AY17" s="4">
        <v>2748.61</v>
      </c>
      <c r="AZ17" s="4">
        <f>BA17-AY17</f>
        <v>-2134.96</v>
      </c>
      <c r="BA17" s="4">
        <v>613.65</v>
      </c>
      <c r="BB17" s="4">
        <f>+BC17-BA17</f>
        <v>1450.4499999999998</v>
      </c>
      <c r="BC17" s="4">
        <v>2064.1</v>
      </c>
      <c r="BD17" s="42">
        <v>1487</v>
      </c>
      <c r="BE17" s="4"/>
    </row>
    <row r="18" spans="1:57" x14ac:dyDescent="0.3">
      <c r="B18" t="s">
        <v>3</v>
      </c>
      <c r="F18" t="s">
        <v>55</v>
      </c>
      <c r="G18" s="22">
        <v>-380776</v>
      </c>
      <c r="H18" s="4">
        <v>35988</v>
      </c>
      <c r="I18" s="4">
        <v>-344788</v>
      </c>
      <c r="J18" s="4">
        <v>83865</v>
      </c>
      <c r="K18" s="4">
        <v>-260923</v>
      </c>
      <c r="L18" s="4">
        <v>-34661</v>
      </c>
      <c r="M18" s="4">
        <f>K18+L18</f>
        <v>-295584</v>
      </c>
      <c r="N18" s="4">
        <v>-61366</v>
      </c>
      <c r="O18" s="4">
        <f t="shared" si="0"/>
        <v>-356950</v>
      </c>
      <c r="P18" s="4">
        <v>-56978</v>
      </c>
      <c r="Q18" s="4">
        <v>-413928</v>
      </c>
      <c r="R18" s="22">
        <v>-421253</v>
      </c>
      <c r="S18" s="22">
        <v>-835181</v>
      </c>
      <c r="T18" s="22">
        <v>89460</v>
      </c>
      <c r="U18" s="22">
        <v>-745721</v>
      </c>
      <c r="V18" s="4">
        <v>-47707</v>
      </c>
      <c r="W18" s="4">
        <v>-793428</v>
      </c>
      <c r="X18" s="4">
        <v>202712</v>
      </c>
      <c r="Y18" s="4">
        <f>W18+X18</f>
        <v>-590716</v>
      </c>
      <c r="Z18" s="22">
        <v>-39976</v>
      </c>
      <c r="AA18" s="22">
        <f>Y18+Z18</f>
        <v>-630692</v>
      </c>
      <c r="AB18" s="4">
        <v>55086</v>
      </c>
      <c r="AC18" s="4">
        <v>-575606</v>
      </c>
      <c r="AD18" s="4">
        <v>-1067409</v>
      </c>
      <c r="AE18" s="4">
        <v>-1643015</v>
      </c>
      <c r="AF18" s="4">
        <v>988661</v>
      </c>
      <c r="AG18" s="4">
        <v>-654354</v>
      </c>
      <c r="AH18" s="4">
        <v>229167</v>
      </c>
      <c r="AI18" s="4">
        <f>AG18+AH18</f>
        <v>-425187</v>
      </c>
      <c r="AJ18" s="22">
        <v>-117464</v>
      </c>
      <c r="AK18" s="22">
        <f t="shared" ref="AK18:AK19" si="1">AI18+AJ18</f>
        <v>-542651</v>
      </c>
      <c r="AL18" s="4">
        <f>AM18-AK18</f>
        <v>-92921.430000000051</v>
      </c>
      <c r="AM18" s="4">
        <v>-635572.43000000005</v>
      </c>
      <c r="AN18" s="4">
        <v>-106940.15999999992</v>
      </c>
      <c r="AO18" s="4">
        <v>-742512.59</v>
      </c>
      <c r="AP18" s="4">
        <v>187420.39</v>
      </c>
      <c r="AQ18" s="4">
        <v>-555092.19999999995</v>
      </c>
      <c r="AR18" s="35">
        <v>54123.56</v>
      </c>
      <c r="AS18" s="35">
        <v>-500968.63999999996</v>
      </c>
      <c r="AT18" s="4">
        <f>AU18-AS18</f>
        <v>8427.4599999999627</v>
      </c>
      <c r="AU18" s="4">
        <v>-492541.18</v>
      </c>
      <c r="AV18" s="4">
        <v>188620.12</v>
      </c>
      <c r="AW18" s="4">
        <v>-303921.06</v>
      </c>
      <c r="AX18" s="4">
        <f>AY18-AW18</f>
        <v>58663.41</v>
      </c>
      <c r="AY18" s="4">
        <v>-245257.65</v>
      </c>
      <c r="AZ18" s="4">
        <f>BA18-AY18</f>
        <v>485029.26</v>
      </c>
      <c r="BA18" s="4">
        <v>239771.61</v>
      </c>
      <c r="BB18" s="4">
        <f>+BC18-BA18</f>
        <v>85334.44</v>
      </c>
      <c r="BC18" s="4">
        <v>325106.05</v>
      </c>
      <c r="BD18" s="42">
        <v>1482</v>
      </c>
      <c r="BE18" s="4"/>
    </row>
    <row r="19" spans="1:57" x14ac:dyDescent="0.3">
      <c r="F19" s="3" t="s">
        <v>15</v>
      </c>
      <c r="G19" s="22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N19" s="4">
        <v>0</v>
      </c>
      <c r="O19" s="4">
        <v>0</v>
      </c>
      <c r="P19" s="4">
        <v>0</v>
      </c>
      <c r="Q19" s="4">
        <v>0</v>
      </c>
      <c r="R19" s="22">
        <v>0</v>
      </c>
      <c r="S19" s="22">
        <v>0</v>
      </c>
      <c r="T19" s="22">
        <v>-104416</v>
      </c>
      <c r="U19" s="22">
        <v>-104416</v>
      </c>
      <c r="V19" s="4">
        <v>0</v>
      </c>
      <c r="W19" s="4">
        <v>0</v>
      </c>
      <c r="X19" s="4">
        <v>0</v>
      </c>
      <c r="Y19" s="4">
        <v>0</v>
      </c>
      <c r="Z19" s="22">
        <v>566097</v>
      </c>
      <c r="AA19" s="22">
        <f>Y19+Z19</f>
        <v>566097</v>
      </c>
      <c r="AB19" s="4">
        <v>-428809</v>
      </c>
      <c r="AC19" s="4">
        <v>137288</v>
      </c>
      <c r="AD19" s="4">
        <v>-83125</v>
      </c>
      <c r="AE19" s="4">
        <v>-220413</v>
      </c>
      <c r="AF19" s="4">
        <v>-64890</v>
      </c>
      <c r="AG19" s="4">
        <v>-285303</v>
      </c>
      <c r="AH19" s="4">
        <v>55535</v>
      </c>
      <c r="AI19" s="4">
        <f>AG19+AH19</f>
        <v>-229768</v>
      </c>
      <c r="AJ19" s="22">
        <v>106371</v>
      </c>
      <c r="AK19" s="22">
        <f t="shared" si="1"/>
        <v>-123397</v>
      </c>
      <c r="AL19" s="4">
        <v>123397</v>
      </c>
      <c r="AM19" s="4">
        <v>0</v>
      </c>
      <c r="AN19" s="4">
        <v>0</v>
      </c>
      <c r="AO19" s="4">
        <v>0</v>
      </c>
      <c r="AP19" s="4"/>
      <c r="AQ19" s="4"/>
      <c r="BA19" s="4"/>
      <c r="BB19" s="4"/>
      <c r="BC19" s="4"/>
      <c r="BD19" s="4"/>
      <c r="BE19" s="4"/>
    </row>
    <row r="20" spans="1:57" x14ac:dyDescent="0.3">
      <c r="A20" s="2" t="s">
        <v>8</v>
      </c>
      <c r="F20" s="2"/>
      <c r="G20" s="22"/>
      <c r="H20" s="4"/>
      <c r="I20" s="4"/>
      <c r="J20" s="4"/>
      <c r="K20" s="4"/>
      <c r="L20" s="4"/>
      <c r="N20" s="4"/>
      <c r="O20" s="4"/>
      <c r="P20" s="4"/>
      <c r="Q20" s="4"/>
      <c r="R20" s="22"/>
      <c r="S20" s="22"/>
      <c r="Z20" s="22"/>
      <c r="AA20" s="22"/>
      <c r="AB20" s="4"/>
      <c r="AC20" s="4"/>
      <c r="AD20" s="4"/>
      <c r="AE20" s="4"/>
      <c r="AF20" s="4"/>
      <c r="AG20" s="4"/>
      <c r="AH20" s="4"/>
      <c r="AI20" s="4"/>
      <c r="AJ20" s="22"/>
      <c r="AK20" s="22"/>
      <c r="AN20" s="4"/>
      <c r="AO20" s="4"/>
      <c r="AP20" s="4"/>
      <c r="AQ20" s="4"/>
      <c r="BA20" s="4"/>
      <c r="BB20" s="4"/>
      <c r="BC20" s="4"/>
      <c r="BD20" s="4"/>
      <c r="BE20" s="4"/>
    </row>
    <row r="21" spans="1:57" x14ac:dyDescent="0.3">
      <c r="B21" s="2" t="s">
        <v>10</v>
      </c>
      <c r="F21" s="3" t="s">
        <v>40</v>
      </c>
      <c r="G21" s="22"/>
      <c r="H21" s="4">
        <v>-20692.990000000002</v>
      </c>
      <c r="I21" s="4"/>
      <c r="J21" s="4">
        <v>-33144.870000000003</v>
      </c>
      <c r="K21" s="4"/>
      <c r="L21" s="4">
        <v>-63611.43</v>
      </c>
      <c r="N21" s="4">
        <v>-71396</v>
      </c>
      <c r="O21" s="4"/>
      <c r="P21" s="4">
        <v>-145822.10999999999</v>
      </c>
      <c r="Q21" s="4"/>
      <c r="R21" s="22">
        <v>-125435.44</v>
      </c>
      <c r="S21" s="22"/>
      <c r="T21" s="22">
        <v>-97072.41</v>
      </c>
      <c r="V21" s="4">
        <v>-118796</v>
      </c>
      <c r="X21" s="4">
        <v>-137155.62</v>
      </c>
      <c r="Z21" s="22">
        <v>-111435.04</v>
      </c>
      <c r="AA21" s="22"/>
      <c r="AB21" s="4">
        <v>-249462.69</v>
      </c>
      <c r="AC21" s="4"/>
      <c r="AD21" s="4">
        <v>-87865.15</v>
      </c>
      <c r="AE21" s="4"/>
      <c r="AF21" s="4">
        <v>-61148.02</v>
      </c>
      <c r="AG21" s="4"/>
      <c r="AH21" s="4">
        <v>-41550.11</v>
      </c>
      <c r="AI21" s="4"/>
      <c r="AJ21" s="22">
        <v>-32178.080000000002</v>
      </c>
      <c r="AK21" s="22"/>
      <c r="AL21" s="4">
        <v>-3697.6</v>
      </c>
      <c r="AN21" s="4">
        <v>-27502.32</v>
      </c>
      <c r="AO21" s="4"/>
      <c r="AP21" s="4">
        <v>-37223.5</v>
      </c>
      <c r="AQ21" s="4"/>
      <c r="AR21" s="4">
        <v>-2442.02</v>
      </c>
      <c r="AT21" s="4">
        <v>-5905.42</v>
      </c>
      <c r="AV21" s="4">
        <v>-14480.74</v>
      </c>
      <c r="AX21" s="4">
        <v>-25360.37</v>
      </c>
      <c r="AY21" s="4"/>
      <c r="AZ21" s="4">
        <v>-6118</v>
      </c>
      <c r="BA21" s="4"/>
      <c r="BB21" s="4">
        <v>39467.760000000002</v>
      </c>
      <c r="BC21" s="4"/>
      <c r="BD21" s="43">
        <v>3051</v>
      </c>
      <c r="BE21" s="4"/>
    </row>
    <row r="22" spans="1:57" x14ac:dyDescent="0.3">
      <c r="B22" s="2"/>
      <c r="F22" s="2"/>
      <c r="G22" s="22"/>
      <c r="H22" s="4"/>
      <c r="I22" s="4"/>
      <c r="J22" s="4"/>
      <c r="K22" s="4"/>
      <c r="L22" s="4"/>
      <c r="N22" s="4"/>
      <c r="O22" s="4"/>
      <c r="P22" s="4"/>
      <c r="Q22" s="4"/>
      <c r="R22" s="22"/>
      <c r="S22" s="22"/>
      <c r="Z22" s="2"/>
      <c r="AA22" s="2"/>
      <c r="AB22" s="4"/>
      <c r="AC22" s="4"/>
      <c r="AD22" s="4"/>
      <c r="AJ22" s="22"/>
      <c r="AK22" s="22"/>
      <c r="AP22" s="4"/>
      <c r="AQ22" s="4"/>
      <c r="BA22" s="4"/>
      <c r="BB22" s="4"/>
      <c r="BC22" s="4"/>
      <c r="BD22" s="4"/>
      <c r="BE22" s="4"/>
    </row>
    <row r="23" spans="1:57" x14ac:dyDescent="0.3">
      <c r="A23" s="2" t="s">
        <v>9</v>
      </c>
      <c r="F23" s="2"/>
      <c r="G23" s="22"/>
      <c r="H23" s="4"/>
      <c r="I23" s="4"/>
      <c r="J23" s="4"/>
      <c r="K23" s="4"/>
      <c r="L23" s="4"/>
      <c r="N23" s="4"/>
      <c r="O23" s="4"/>
      <c r="P23" s="4"/>
      <c r="Q23" s="4"/>
      <c r="R23" s="22"/>
      <c r="S23" s="22"/>
      <c r="Z23" s="2"/>
      <c r="AA23" s="2"/>
      <c r="AB23" s="4"/>
      <c r="AC23" s="4"/>
      <c r="AD23" s="4"/>
      <c r="AJ23" s="22"/>
      <c r="AK23" s="22"/>
      <c r="AP23" s="4"/>
      <c r="AQ23" s="4"/>
      <c r="BE23" s="4"/>
    </row>
    <row r="24" spans="1:57" x14ac:dyDescent="0.3">
      <c r="B24" s="2" t="s">
        <v>11</v>
      </c>
      <c r="F24" s="3" t="s">
        <v>57</v>
      </c>
      <c r="G24" s="22"/>
      <c r="H24" s="4">
        <v>-354</v>
      </c>
      <c r="I24" s="4"/>
      <c r="K24" s="4"/>
      <c r="L24" s="4">
        <v>83895</v>
      </c>
      <c r="N24" s="4"/>
      <c r="O24" s="4"/>
      <c r="R24" s="22">
        <v>-18003.87</v>
      </c>
      <c r="S24" s="22"/>
      <c r="T24" s="2">
        <v>0</v>
      </c>
      <c r="V24" s="22">
        <v>-106678.54</v>
      </c>
      <c r="X24" s="22">
        <v>21014.880000000001</v>
      </c>
      <c r="Z24" s="22">
        <v>-4311.34</v>
      </c>
      <c r="AA24" s="2"/>
      <c r="AB24" s="21">
        <v>-510023.33</v>
      </c>
      <c r="AC24" s="24"/>
      <c r="AD24" s="4">
        <v>-13362.3</v>
      </c>
      <c r="AF24" s="4">
        <v>-68004.539999999994</v>
      </c>
      <c r="AH24" s="21">
        <v>-360016.91</v>
      </c>
      <c r="AJ24" s="22">
        <v>-2117.3000000000002</v>
      </c>
      <c r="AK24" s="22"/>
      <c r="AL24" s="22">
        <v>-44630.63</v>
      </c>
      <c r="AN24" s="21">
        <v>554.63</v>
      </c>
      <c r="AP24" s="4">
        <v>-93217.48</v>
      </c>
      <c r="AQ24" s="4"/>
      <c r="AR24" s="4">
        <v>40000</v>
      </c>
      <c r="AT24" s="4">
        <v>-86974.29</v>
      </c>
      <c r="AV24" s="4">
        <v>-76060.899999999994</v>
      </c>
      <c r="AX24" s="4">
        <v>0</v>
      </c>
      <c r="AY24" s="4"/>
      <c r="AZ24" s="4">
        <v>25000</v>
      </c>
      <c r="BB24" s="4">
        <v>-1450.45</v>
      </c>
      <c r="BE24" s="4"/>
    </row>
    <row r="25" spans="1:57" x14ac:dyDescent="0.3">
      <c r="B25" s="2"/>
      <c r="F25" s="3" t="s">
        <v>17</v>
      </c>
      <c r="G25" s="22"/>
      <c r="H25" s="4">
        <v>35988</v>
      </c>
      <c r="I25" s="4"/>
      <c r="J25" s="4">
        <v>-509</v>
      </c>
      <c r="K25" s="4"/>
      <c r="L25" s="4">
        <v>-1243</v>
      </c>
      <c r="N25" s="21">
        <v>-8229</v>
      </c>
      <c r="O25" s="4"/>
      <c r="P25" s="21">
        <v>-19157</v>
      </c>
      <c r="Q25" s="27"/>
      <c r="R25" s="22">
        <v>-15683</v>
      </c>
      <c r="S25" s="22"/>
      <c r="T25" s="22">
        <v>15901</v>
      </c>
      <c r="V25" s="22">
        <v>-515</v>
      </c>
      <c r="X25" s="22">
        <v>-302</v>
      </c>
      <c r="Z25" s="22">
        <v>8013</v>
      </c>
      <c r="AA25" s="2"/>
      <c r="AB25" s="21">
        <v>2803</v>
      </c>
      <c r="AC25" s="27"/>
      <c r="AD25" s="4">
        <v>2410</v>
      </c>
      <c r="AF25" s="4">
        <v>9262</v>
      </c>
      <c r="AH25" s="21">
        <v>290</v>
      </c>
      <c r="AJ25" s="22">
        <v>5177</v>
      </c>
      <c r="AK25" s="22"/>
      <c r="AL25" s="22">
        <v>-7318.6299999999992</v>
      </c>
      <c r="AN25" s="21">
        <f>AN17</f>
        <v>-20464.39</v>
      </c>
      <c r="AP25" s="4">
        <v>9031.4699999999993</v>
      </c>
      <c r="AQ25" s="4"/>
      <c r="AR25" s="35">
        <f>AR17</f>
        <v>13430.28</v>
      </c>
      <c r="AT25" s="4">
        <v>15081.319999999996</v>
      </c>
      <c r="AV25" s="4">
        <v>-1038</v>
      </c>
      <c r="AX25" s="4">
        <v>-441.44000000000005</v>
      </c>
      <c r="AY25" s="4"/>
      <c r="AZ25" s="4">
        <v>-2134.96</v>
      </c>
      <c r="BB25" s="4">
        <f>-85334.44-0.11</f>
        <v>-85334.55</v>
      </c>
      <c r="BE25" s="4"/>
    </row>
    <row r="26" spans="1:57" x14ac:dyDescent="0.3">
      <c r="F26" s="3" t="s">
        <v>17</v>
      </c>
      <c r="G26" s="22"/>
      <c r="H26" s="4">
        <v>-2896.3</v>
      </c>
      <c r="I26" s="4"/>
      <c r="J26" s="4">
        <v>83865</v>
      </c>
      <c r="K26" s="4"/>
      <c r="L26" s="4">
        <v>-34661</v>
      </c>
      <c r="N26" s="21">
        <v>-61366</v>
      </c>
      <c r="O26" s="4"/>
      <c r="P26" s="21">
        <v>-56978</v>
      </c>
      <c r="Q26" s="27"/>
      <c r="R26" s="22">
        <v>-421253</v>
      </c>
      <c r="S26" s="22"/>
      <c r="T26" s="22">
        <v>-14956</v>
      </c>
      <c r="V26" s="22">
        <v>-47707</v>
      </c>
      <c r="X26" s="22">
        <v>202712</v>
      </c>
      <c r="Z26" s="22">
        <v>-39976</v>
      </c>
      <c r="AA26" s="2"/>
      <c r="AB26" s="21">
        <v>55086</v>
      </c>
      <c r="AC26" s="27"/>
      <c r="AD26" s="4">
        <v>-1067409</v>
      </c>
      <c r="AF26" s="4">
        <v>988661</v>
      </c>
      <c r="AH26" s="21">
        <v>229167</v>
      </c>
      <c r="AJ26" s="22">
        <v>-117464</v>
      </c>
      <c r="AK26" s="22"/>
      <c r="AL26" s="22">
        <v>-92921.430000000051</v>
      </c>
      <c r="AN26" s="21">
        <f>AN18</f>
        <v>-106940.15999999992</v>
      </c>
      <c r="AP26" s="4">
        <v>187420.39</v>
      </c>
      <c r="AQ26" s="4"/>
      <c r="AR26" s="35">
        <f>AR18</f>
        <v>54123.56</v>
      </c>
      <c r="AT26" s="4">
        <v>8427.4599999999627</v>
      </c>
      <c r="AV26" s="4">
        <v>188620.12</v>
      </c>
      <c r="AX26" s="4">
        <v>58663.41</v>
      </c>
      <c r="AY26" s="4"/>
      <c r="AZ26" s="4">
        <v>5486.0400000000081</v>
      </c>
      <c r="BB26" s="37">
        <v>-5920.35</v>
      </c>
      <c r="BD26" s="44">
        <v>7172</v>
      </c>
      <c r="BE26" s="4"/>
    </row>
    <row r="27" spans="1:57" x14ac:dyDescent="0.3">
      <c r="B27" t="s">
        <v>21</v>
      </c>
      <c r="F27" s="3" t="s">
        <v>17</v>
      </c>
      <c r="G27" s="22"/>
      <c r="H27" s="4">
        <v>-1532.6499999999996</v>
      </c>
      <c r="I27" s="4"/>
      <c r="J27" s="4">
        <v>-4971.66</v>
      </c>
      <c r="K27" s="4"/>
      <c r="L27" s="4">
        <v>-9911.82</v>
      </c>
      <c r="N27" s="21">
        <v>-10709.36</v>
      </c>
      <c r="O27" s="4"/>
      <c r="P27" s="21">
        <v>-21873.360000000001</v>
      </c>
      <c r="Q27" s="27"/>
      <c r="R27" s="22">
        <v>-18808.189999999999</v>
      </c>
      <c r="S27" s="22"/>
      <c r="T27" s="22">
        <v>-14560.91</v>
      </c>
      <c r="V27" s="22">
        <v>-17819.59</v>
      </c>
      <c r="X27" s="22">
        <v>-20573.310000000001</v>
      </c>
      <c r="Z27" s="22">
        <v>-16715.27</v>
      </c>
      <c r="AA27" s="2"/>
      <c r="AB27" s="21">
        <v>-37419.25</v>
      </c>
      <c r="AC27" s="27"/>
      <c r="AD27" s="4">
        <v>-13179.75</v>
      </c>
      <c r="AF27" s="4">
        <v>-9172.23</v>
      </c>
      <c r="AH27" s="21">
        <v>-6232.49</v>
      </c>
      <c r="AJ27" s="22">
        <v>-4826.68</v>
      </c>
      <c r="AK27" s="22"/>
      <c r="AL27" s="22">
        <v>-554.64</v>
      </c>
      <c r="AN27" s="21">
        <v>-4679.9799999999996</v>
      </c>
      <c r="AP27" s="4">
        <v>-10263.51</v>
      </c>
      <c r="AQ27" s="4"/>
      <c r="AR27" s="4">
        <v>-366.29</v>
      </c>
      <c r="AT27" s="4">
        <v>-885.82</v>
      </c>
      <c r="AV27" s="4">
        <v>-2172.12</v>
      </c>
      <c r="AX27" s="4">
        <v>-3804.05</v>
      </c>
      <c r="AY27" s="4"/>
      <c r="AZ27" s="4">
        <v>-917.69</v>
      </c>
      <c r="BB27" s="37">
        <v>1010.88</v>
      </c>
      <c r="BD27" s="41">
        <v>7182</v>
      </c>
      <c r="BE27" s="4"/>
    </row>
    <row r="28" spans="1:57" x14ac:dyDescent="0.3">
      <c r="F28" s="3" t="s">
        <v>57</v>
      </c>
      <c r="H28" s="4">
        <v>0</v>
      </c>
      <c r="I28" s="4"/>
      <c r="J28" s="4"/>
      <c r="K28" s="4"/>
      <c r="L28" s="4"/>
      <c r="N28" s="4"/>
      <c r="O28" s="4"/>
      <c r="P28" s="24"/>
      <c r="Q28" s="24"/>
      <c r="S28" s="22"/>
      <c r="Z28" s="22">
        <v>566097</v>
      </c>
      <c r="AA28" s="2"/>
      <c r="AB28" s="4">
        <v>-428809</v>
      </c>
      <c r="AC28" s="4"/>
      <c r="AD28" s="4">
        <v>-83125</v>
      </c>
      <c r="AF28" s="4">
        <v>-64890</v>
      </c>
      <c r="AH28" s="4">
        <v>55535</v>
      </c>
      <c r="AJ28" s="22">
        <v>106371</v>
      </c>
      <c r="AK28" s="22"/>
      <c r="AL28" s="22">
        <v>123397</v>
      </c>
      <c r="AP28" s="4"/>
      <c r="AQ28" s="4"/>
      <c r="BB28">
        <v>12500</v>
      </c>
      <c r="BD28" s="40" t="s">
        <v>70</v>
      </c>
      <c r="BE28" s="4"/>
    </row>
    <row r="29" spans="1:57" x14ac:dyDescent="0.3">
      <c r="BD29" s="40" t="s">
        <v>71</v>
      </c>
      <c r="BE29" s="4"/>
    </row>
    <row r="30" spans="1:57" x14ac:dyDescent="0.3">
      <c r="F30" s="2"/>
      <c r="G30" s="22"/>
      <c r="H30" s="4">
        <v>0</v>
      </c>
      <c r="I30" s="4"/>
      <c r="J30" s="4"/>
      <c r="K30" s="4"/>
      <c r="N30" s="4"/>
      <c r="O30" s="4"/>
      <c r="AB30" s="27"/>
      <c r="AC30" s="27"/>
      <c r="AD30" s="27"/>
      <c r="AJ30" s="22">
        <v>0</v>
      </c>
      <c r="AK30" s="22"/>
      <c r="AP30" s="4"/>
      <c r="AQ30" s="4"/>
      <c r="AR30" s="4"/>
      <c r="BE30" s="4"/>
    </row>
    <row r="31" spans="1:57" x14ac:dyDescent="0.3">
      <c r="A31" t="s">
        <v>20</v>
      </c>
      <c r="F31" s="3" t="s">
        <v>22</v>
      </c>
      <c r="G31" s="22"/>
      <c r="H31" s="4">
        <v>0</v>
      </c>
      <c r="I31" s="4"/>
      <c r="J31" s="4"/>
      <c r="K31" s="4"/>
      <c r="N31" s="4"/>
      <c r="O31" s="4"/>
      <c r="T31" s="22">
        <v>0</v>
      </c>
      <c r="AB31" s="27"/>
      <c r="AC31" s="27"/>
      <c r="AD31" s="27"/>
      <c r="AJ31" s="22">
        <v>0</v>
      </c>
      <c r="AK31" s="22"/>
      <c r="AP31" s="4"/>
      <c r="AQ31" s="4"/>
      <c r="AR31" s="35">
        <v>-237458</v>
      </c>
      <c r="AT31" s="4">
        <v>-129829.55</v>
      </c>
      <c r="AX31" s="4">
        <v>-285817.52</v>
      </c>
      <c r="AZ31" s="4">
        <f>-AZ9</f>
        <v>-92897.06</v>
      </c>
      <c r="BB31" s="51">
        <f>-BB9</f>
        <v>342030.56</v>
      </c>
      <c r="BD31" s="40" t="s">
        <v>69</v>
      </c>
      <c r="BE31" s="4"/>
    </row>
    <row r="32" spans="1:57" x14ac:dyDescent="0.3">
      <c r="F32" s="3" t="s">
        <v>48</v>
      </c>
      <c r="G32" s="22"/>
      <c r="H32" s="4"/>
      <c r="I32" s="4"/>
      <c r="J32" s="4"/>
      <c r="K32" s="4"/>
      <c r="N32" s="4"/>
      <c r="O32" s="4"/>
      <c r="T32" s="22">
        <v>0</v>
      </c>
      <c r="AB32" s="27"/>
      <c r="AC32" s="27"/>
      <c r="AD32" s="27"/>
      <c r="AJ32" s="22"/>
      <c r="AK32" s="22"/>
      <c r="AP32" s="4"/>
      <c r="AQ32" s="4"/>
      <c r="AR32" s="4"/>
      <c r="BE32" s="4"/>
    </row>
    <row r="33" spans="1:57" x14ac:dyDescent="0.3">
      <c r="F33" s="2"/>
      <c r="G33" s="22"/>
      <c r="H33" s="6"/>
      <c r="I33" s="6"/>
      <c r="J33" s="6"/>
      <c r="K33" s="6"/>
      <c r="N33" s="4"/>
      <c r="O33" s="4"/>
      <c r="AB33" s="4"/>
      <c r="AC33" s="4"/>
      <c r="AD33" s="4"/>
      <c r="AJ33" s="26"/>
      <c r="AK33" s="26"/>
      <c r="AP33" s="4"/>
      <c r="AQ33" s="4"/>
      <c r="AR33" s="4"/>
      <c r="BE33" s="4"/>
    </row>
    <row r="34" spans="1:57" x14ac:dyDescent="0.3">
      <c r="A34" s="5" t="s">
        <v>52</v>
      </c>
      <c r="F34" s="3" t="s">
        <v>53</v>
      </c>
      <c r="G34" s="26"/>
      <c r="H34" s="6"/>
      <c r="I34" s="6"/>
      <c r="J34" s="4">
        <v>-83895</v>
      </c>
      <c r="K34" s="6"/>
      <c r="N34" s="4"/>
      <c r="O34" s="4"/>
      <c r="T34" s="22">
        <v>0</v>
      </c>
      <c r="AB34" s="6"/>
      <c r="AC34" s="6"/>
      <c r="AD34" s="6"/>
      <c r="AJ34" s="22">
        <v>226585.41</v>
      </c>
      <c r="AK34" s="26"/>
      <c r="AL34">
        <v>0</v>
      </c>
      <c r="AP34" s="6">
        <v>20000</v>
      </c>
      <c r="AQ34" s="6"/>
      <c r="AR34" s="4">
        <v>40000</v>
      </c>
      <c r="AV34">
        <v>-10000</v>
      </c>
      <c r="AZ34">
        <v>-25000</v>
      </c>
      <c r="BB34">
        <v>0</v>
      </c>
    </row>
    <row r="35" spans="1:57" x14ac:dyDescent="0.3">
      <c r="F35" s="3" t="s">
        <v>62</v>
      </c>
      <c r="G35" s="26"/>
      <c r="J35" s="4">
        <v>-83895</v>
      </c>
      <c r="N35" s="4"/>
      <c r="O35" s="4"/>
      <c r="T35" s="22">
        <v>0</v>
      </c>
      <c r="AB35" s="6"/>
      <c r="AC35" s="6"/>
      <c r="AD35" s="6"/>
      <c r="AJ35" s="4"/>
      <c r="AL35" s="4">
        <f>-AL13</f>
        <v>0</v>
      </c>
      <c r="AP35" s="6">
        <v>20000</v>
      </c>
      <c r="AQ35" s="6"/>
      <c r="AR35" s="4">
        <v>40000</v>
      </c>
      <c r="AV35">
        <v>-10000</v>
      </c>
      <c r="AZ35">
        <v>-25000</v>
      </c>
      <c r="BB35">
        <v>0</v>
      </c>
    </row>
    <row r="36" spans="1:57" x14ac:dyDescent="0.3">
      <c r="N36" s="4"/>
      <c r="O36" s="4"/>
    </row>
    <row r="37" spans="1:57" x14ac:dyDescent="0.3">
      <c r="N37" s="4"/>
      <c r="O37" s="4"/>
    </row>
    <row r="38" spans="1:57" x14ac:dyDescent="0.3">
      <c r="N38" s="4"/>
      <c r="O38" s="4"/>
    </row>
    <row r="39" spans="1:57" x14ac:dyDescent="0.3">
      <c r="N39" s="4"/>
      <c r="O39" s="4"/>
    </row>
    <row r="40" spans="1:57" x14ac:dyDescent="0.3">
      <c r="N40" s="4"/>
      <c r="O40" s="4"/>
    </row>
    <row r="41" spans="1:57" x14ac:dyDescent="0.3">
      <c r="G41" s="22" t="e">
        <f>#REF!+#REF!+#REF!+#REF!+#REF!+#REF!+#REF!+#REF!+#REF!+#REF!+#REF!+#REF!</f>
        <v>#REF!</v>
      </c>
      <c r="I41" s="22">
        <f>H9+H10+H11+H16+H17+H18+H21+H31+H32+H39+H12+H35</f>
        <v>31205.05</v>
      </c>
      <c r="K41" s="22">
        <f>J9+J10+J11+J16+J17+J18+J21+J31+J32+J39+J12+J35</f>
        <v>-10282.660000000003</v>
      </c>
      <c r="L41" s="22"/>
      <c r="M41" s="22">
        <f>L9+L10+L11+L16+L17+L18+L21+L31+L32+L39+L12+L35</f>
        <v>44726.23</v>
      </c>
      <c r="N41" s="22"/>
      <c r="O41" s="22">
        <f>N9+N10+N11+N16+N17+N18+N21+N31+N32+N39+N12+N35</f>
        <v>-79023.77</v>
      </c>
      <c r="P41" s="22"/>
      <c r="Q41" s="22">
        <f t="shared" ref="Q41" si="2">P9+P10+P11+P16+P17+P18+P21+P31+P32+P39+P12+P35</f>
        <v>-95173.8</v>
      </c>
      <c r="R41" s="22"/>
      <c r="S41" s="22">
        <f t="shared" ref="S41" si="3">R9+R10+R11+R16+R17+R18+R21+R31+R32+R39+R12+R35</f>
        <v>-470352.3</v>
      </c>
      <c r="T41" s="22"/>
      <c r="U41" s="22">
        <f>T9+T10+T11+T16+T17+T18+T21+T31+T32+T39+T12+T35+T19</f>
        <v>-15554.070000000007</v>
      </c>
      <c r="V41" s="22"/>
      <c r="W41" s="22">
        <f>V9+V10+V11+V16+V17+V18+V21+V31+V32+V39+V12+V35+V19</f>
        <v>-173182.41999999998</v>
      </c>
      <c r="Y41" s="22">
        <f>X9+X10+X11+X16+X17+X18+X21+X31+X32+X39+X12+X35+X19</f>
        <v>202899.96000000002</v>
      </c>
      <c r="AA41" s="22">
        <f>Z9+Z10+Z11+Z16+Z17+Z18+Z21+Z31+Z32+Z39+Z12+Z35+Z19</f>
        <v>511887.93</v>
      </c>
      <c r="AC41" s="22">
        <f>AB9+AB10+AB11+AB16+AB17+AB18+AB21+AB31+AB32+AB39+AB12+AB35+AB19</f>
        <v>-910936.33000000007</v>
      </c>
      <c r="AD41" s="22"/>
      <c r="AE41" s="22">
        <f>AD9+AD10+AD11+AD16+AD17+AD18+AD21+AD31+AD32+AD39+AD12+AD35+AD19</f>
        <v>-1182775.76</v>
      </c>
      <c r="AG41" s="22">
        <f>AF9+AF10+AF11+AF16+AF17+AF18+AF21+AF31+AF32+AF39+AF12+AF35+AF19</f>
        <v>854367.78999999992</v>
      </c>
      <c r="AI41" s="22">
        <f>AH9+AH10+AH11+AH16+AH17+AH18+AH21+AH31+AH32+AH13+AH12+AH35+AH19</f>
        <v>-80218.849999999977</v>
      </c>
      <c r="AK41" s="22">
        <f>AJ9+AJ10+AJ11+AJ16+AJ17+AJ18+AJ21+AJ31+AJ32+AJ13+AJ12+AJ35+AJ19</f>
        <v>-11801.820000000007</v>
      </c>
      <c r="AM41" s="22">
        <f>AL9+AL10+AL11+AL16+AL17+AL18+AL21+AL31+AL32+AL13+AL12+AL19+AL35</f>
        <v>-21572.73000000004</v>
      </c>
      <c r="AO41" s="22">
        <f>AN9+AN10+AN11+AN16+AN17+AN18+AN21+AN31+AN32+AN13+AN12+AN19+AN35</f>
        <v>-130477.14999999991</v>
      </c>
      <c r="AQ41" s="22">
        <f>AP9+AP10+AP11+AP16+AP17+AP18+AP21+AP31+AP32+AP13+AP12+AP19+AP35</f>
        <v>112530.9</v>
      </c>
      <c r="AS41" s="22">
        <f>AR9+AR10+AR11+AR16+AR17+AR18+AR21+AR31+AR32+AR13+AR12+AR19+AR35</f>
        <v>146042.89999999997</v>
      </c>
      <c r="AU41" s="22">
        <f>AT9+AT10+AT11+AT16+AT17+AT18+AT21+AT31+AT32+AT13+AT12+AT19+AT35</f>
        <v>-64381.130000000034</v>
      </c>
      <c r="AW41" s="22">
        <f>AV9+AV10+AV11+AV16+AV17+AV18+AV21+AV31+AV32+AV13+AV12+AV19+AV35</f>
        <v>99708.49000000002</v>
      </c>
      <c r="AY41" s="22">
        <f>AX9+AX10+AX11+AX16+AX17+AX18+AX21+AX31+AX32+AX13+AX12+AX19+AX35</f>
        <v>53936.219999999972</v>
      </c>
      <c r="BA41" s="22"/>
      <c r="BC41" s="22">
        <f>SUM(BB8:BB34)</f>
        <v>-0.10999999998603016</v>
      </c>
    </row>
    <row r="42" spans="1:57" x14ac:dyDescent="0.3">
      <c r="G42" s="22" t="e">
        <f>#REF!+#REF!+#REF!+#REF!+#REF!+#REF!+#REF!</f>
        <v>#REF!</v>
      </c>
      <c r="I42" s="22" t="e">
        <f>H25+H26+H27+#REF!+H38+H24+H34</f>
        <v>#REF!</v>
      </c>
      <c r="K42" s="22" t="e">
        <f>J26+J27+#REF!+J38+J25+J34</f>
        <v>#REF!</v>
      </c>
      <c r="L42" s="22"/>
      <c r="M42" s="22" t="e">
        <f>L26+L27+#REF!+L38+L25+L34+L24</f>
        <v>#REF!</v>
      </c>
      <c r="N42" s="22"/>
      <c r="O42" s="22" t="e">
        <f>N26+N27+#REF!+N38+N25+N34+N24</f>
        <v>#REF!</v>
      </c>
      <c r="P42" s="22"/>
      <c r="Q42" s="22" t="e">
        <f>P26+P27+#REF!+P38+P25+P34+P24</f>
        <v>#REF!</v>
      </c>
      <c r="R42" s="22"/>
      <c r="S42" s="22" t="e">
        <f>R26+R27+#REF!+R38+R25+R34+R24</f>
        <v>#REF!</v>
      </c>
      <c r="T42" s="22"/>
      <c r="U42" s="22" t="e">
        <f>T26+T27+#REF!+T38+T25+T34+T24</f>
        <v>#REF!</v>
      </c>
      <c r="V42" s="22"/>
      <c r="W42" s="22" t="e">
        <f>V26+V27+#REF!+V38+V25+V34+V24</f>
        <v>#REF!</v>
      </c>
      <c r="Y42" s="22" t="e">
        <f>X26+X27+#REF!+X38+X25+X34+X24</f>
        <v>#REF!</v>
      </c>
      <c r="AA42" s="22" t="e">
        <f>Z26+Z27+#REF!+Z38+Z25+Z34+Z24+Z28</f>
        <v>#REF!</v>
      </c>
      <c r="AC42" s="22" t="e">
        <f>AB26+AB27+#REF!+AB38+AB25+AB34+AB24+AB28</f>
        <v>#REF!</v>
      </c>
      <c r="AD42" s="22"/>
      <c r="AE42" s="22" t="e">
        <f>AD26+AD27+#REF!+AD38+AD25+AD34+AD24+AD28</f>
        <v>#REF!</v>
      </c>
      <c r="AG42" s="22" t="e">
        <f>AF26+AF27+#REF!+AF38+AF25+AF34+AF24+AF28</f>
        <v>#REF!</v>
      </c>
      <c r="AI42" s="22" t="e">
        <f>AH26+AH27+#REF!+AH38+AH25+AH34+AH24+AH28</f>
        <v>#REF!</v>
      </c>
      <c r="AK42" s="22" t="e">
        <f>AJ26+AJ27+#REF!+AJ38+AJ25+AJ34+AJ24+AJ28</f>
        <v>#REF!</v>
      </c>
      <c r="AM42" s="22" t="e">
        <f>AL26+AL27+#REF!+AL38+AL25+AL34+AL24+AL28</f>
        <v>#REF!</v>
      </c>
      <c r="AO42" s="22" t="e">
        <f>AN26+AN27+#REF!+AN38+AN25+AN34+AN24+AN28</f>
        <v>#REF!</v>
      </c>
      <c r="AQ42" s="22" t="e">
        <f>AP26+AP27+#REF!+AP38+AP25+AP34+AP24+AP28</f>
        <v>#REF!</v>
      </c>
      <c r="AS42" s="22" t="e">
        <f>AR26+AR27+#REF!+AR38+AR25+AR34+AR24+AR28</f>
        <v>#REF!</v>
      </c>
      <c r="AU42" s="22" t="e">
        <f>AT26+AT27+#REF!+AT38+AT25+AT34+AT24+AT28</f>
        <v>#REF!</v>
      </c>
      <c r="AW42" s="22" t="e">
        <f>AV26+AV27+#REF!+AV38+AV25+AV34+AV24+AV28</f>
        <v>#REF!</v>
      </c>
      <c r="AY42" s="22" t="e">
        <f>AX26+AX27+#REF!+AX38+AX25+AX34+AX24+AX28</f>
        <v>#REF!</v>
      </c>
      <c r="BA42" s="22"/>
      <c r="BC42" s="22"/>
    </row>
    <row r="44" spans="1:57" x14ac:dyDescent="0.3">
      <c r="N44" s="4" t="e">
        <f>M41-M42</f>
        <v>#REF!</v>
      </c>
      <c r="O44" s="4"/>
      <c r="P44" s="4" t="e">
        <f>O41-O42</f>
        <v>#REF!</v>
      </c>
      <c r="Q44" s="4"/>
      <c r="R44" s="22" t="e">
        <f t="shared" ref="R44" si="4">Q41-Q42</f>
        <v>#REF!</v>
      </c>
      <c r="S44" s="22"/>
      <c r="T44" s="22" t="e">
        <f>S41-S42</f>
        <v>#REF!</v>
      </c>
      <c r="U44" s="22"/>
      <c r="V44" s="22" t="e">
        <f>U41-U42</f>
        <v>#REF!</v>
      </c>
      <c r="W44" s="22"/>
      <c r="X44" s="22" t="e">
        <f t="shared" ref="X44:AB44" si="5">W41-W42</f>
        <v>#REF!</v>
      </c>
      <c r="Z44" s="22" t="e">
        <f t="shared" si="5"/>
        <v>#REF!</v>
      </c>
      <c r="AB44" s="22" t="e">
        <f t="shared" si="5"/>
        <v>#REF!</v>
      </c>
      <c r="AH44" s="22" t="e">
        <f>AG41-AG42</f>
        <v>#REF!</v>
      </c>
      <c r="AJ44" s="22" t="e">
        <f>AI41-AI42</f>
        <v>#REF!</v>
      </c>
      <c r="AL44" s="22"/>
      <c r="AS44" s="4"/>
    </row>
  </sheetData>
  <phoneticPr fontId="8" type="noConversion"/>
  <pageMargins left="0.39" right="0.31" top="0.45" bottom="0.39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 sektori saldod</vt:lpstr>
      <vt:lpstr>lisa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Maret Paeste</dc:creator>
  <cp:lastModifiedBy>Age Kallas</cp:lastModifiedBy>
  <cp:lastPrinted>2015-06-03T07:12:13Z</cp:lastPrinted>
  <dcterms:created xsi:type="dcterms:W3CDTF">2011-03-09T13:08:05Z</dcterms:created>
  <dcterms:modified xsi:type="dcterms:W3CDTF">2025-10-26T05:22:56Z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070b25-3e51-4c49-94ac-1c89225a19f8_Enabled">
    <vt:lpwstr>true</vt:lpwstr>
  </property>
  <property fmtid="{D5CDD505-2E9C-101B-9397-08002B2CF9AE}" pid="3" name="MSIP_Label_64070b25-3e51-4c49-94ac-1c89225a19f8_SetDate">
    <vt:lpwstr>2023-10-26T10:17:41Z</vt:lpwstr>
  </property>
  <property fmtid="{D5CDD505-2E9C-101B-9397-08002B2CF9AE}" pid="4" name="MSIP_Label_64070b25-3e51-4c49-94ac-1c89225a19f8_Method">
    <vt:lpwstr>Standard</vt:lpwstr>
  </property>
  <property fmtid="{D5CDD505-2E9C-101B-9397-08002B2CF9AE}" pid="5" name="MSIP_Label_64070b25-3e51-4c49-94ac-1c89225a19f8_Name">
    <vt:lpwstr>defa4170-0d19-0005-0004-bc88714345d2</vt:lpwstr>
  </property>
  <property fmtid="{D5CDD505-2E9C-101B-9397-08002B2CF9AE}" pid="6" name="MSIP_Label_64070b25-3e51-4c49-94ac-1c89225a19f8_SiteId">
    <vt:lpwstr>3c88e4d0-0f16-4fc9-9c9d-e75d2f2a6adc</vt:lpwstr>
  </property>
  <property fmtid="{D5CDD505-2E9C-101B-9397-08002B2CF9AE}" pid="7" name="MSIP_Label_64070b25-3e51-4c49-94ac-1c89225a19f8_ActionId">
    <vt:lpwstr>8b5e7e28-f76d-471a-8241-e1e0cf998031</vt:lpwstr>
  </property>
  <property fmtid="{D5CDD505-2E9C-101B-9397-08002B2CF9AE}" pid="8" name="MSIP_Label_64070b25-3e51-4c49-94ac-1c89225a19f8_ContentBits">
    <vt:lpwstr>0</vt:lpwstr>
  </property>
</Properties>
</file>